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07. Тендерный отдел\Тендеры\ЖК Народные Кварталы\СОЦ\СОШ 18468\Наружняя отделка\Отделка фасада\ЭТП\"/>
    </mc:Choice>
  </mc:AlternateContent>
  <xr:revisionPtr revIDLastSave="0" documentId="13_ncr:1_{AC491F48-AA49-43C1-85A5-4A136FEF99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Фасад СОШ 18468" sheetId="16" r:id="rId1"/>
    <sheet name="по проекту общее" sheetId="11" state="hidden" r:id="rId2"/>
    <sheet name="В работу" sheetId="10" state="hidden" r:id="rId3"/>
    <sheet name="расчет общий" sheetId="8" state="hidden" r:id="rId4"/>
  </sheets>
  <definedNames>
    <definedName name="_xlnm._FilterDatabase" localSheetId="1" hidden="1">'по проекту общее'!$B$2:$G$39</definedName>
    <definedName name="_xlnm._FilterDatabase" localSheetId="3" hidden="1">'расчет общий'!$B$1:$B$54</definedName>
    <definedName name="_xlnm._FilterDatabase" localSheetId="0" hidden="1">'Фасад СОШ 18468'!$A$8:$AML$286</definedName>
    <definedName name="_xlnm.Print_Area" localSheetId="0">'Фасад СОШ 18468'!$A$1:$L$303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6" i="16" l="1"/>
  <c r="F13" i="16"/>
  <c r="F14" i="16"/>
  <c r="F15" i="16"/>
  <c r="J15" i="16"/>
  <c r="K15" i="16"/>
  <c r="F16" i="16"/>
  <c r="F17" i="16"/>
  <c r="F18" i="16"/>
  <c r="F19" i="16"/>
  <c r="F21" i="16"/>
  <c r="J21" i="16"/>
  <c r="I21" i="16" s="1"/>
  <c r="K21" i="16"/>
  <c r="F22" i="16"/>
  <c r="F23" i="16"/>
  <c r="F24" i="16"/>
  <c r="F25" i="16"/>
  <c r="F27" i="16"/>
  <c r="J27" i="16"/>
  <c r="K27" i="16"/>
  <c r="F28" i="16"/>
  <c r="F29" i="16"/>
  <c r="J29" i="16"/>
  <c r="K29" i="16"/>
  <c r="F30" i="16"/>
  <c r="F31" i="16"/>
  <c r="F32" i="16"/>
  <c r="F35" i="16"/>
  <c r="J35" i="16"/>
  <c r="K35" i="16"/>
  <c r="F36" i="16"/>
  <c r="F37" i="16"/>
  <c r="F38" i="16"/>
  <c r="F39" i="16"/>
  <c r="J39" i="16"/>
  <c r="K39" i="16"/>
  <c r="I39" i="16" s="1"/>
  <c r="F40" i="16"/>
  <c r="F41" i="16"/>
  <c r="F42" i="16"/>
  <c r="J42" i="16"/>
  <c r="K42" i="16"/>
  <c r="F43" i="16"/>
  <c r="F44" i="16"/>
  <c r="J44" i="16"/>
  <c r="K44" i="16"/>
  <c r="F45" i="16"/>
  <c r="F46" i="16"/>
  <c r="J46" i="16"/>
  <c r="I46" i="16" s="1"/>
  <c r="K46" i="16"/>
  <c r="F47" i="16"/>
  <c r="F49" i="16"/>
  <c r="J49" i="16"/>
  <c r="K49" i="16"/>
  <c r="F50" i="16"/>
  <c r="F51" i="16"/>
  <c r="J51" i="16"/>
  <c r="I51" i="16" s="1"/>
  <c r="K51" i="16"/>
  <c r="F52" i="16"/>
  <c r="F53" i="16"/>
  <c r="F55" i="16"/>
  <c r="J55" i="16"/>
  <c r="K55" i="16"/>
  <c r="F56" i="16"/>
  <c r="F57" i="16"/>
  <c r="J57" i="16"/>
  <c r="I57" i="16" s="1"/>
  <c r="K57" i="16"/>
  <c r="F58" i="16"/>
  <c r="F59" i="16"/>
  <c r="F60" i="16"/>
  <c r="J60" i="16"/>
  <c r="K60" i="16"/>
  <c r="F61" i="16"/>
  <c r="F62" i="16"/>
  <c r="J62" i="16"/>
  <c r="K62" i="16"/>
  <c r="F63" i="16"/>
  <c r="F64" i="16"/>
  <c r="F66" i="16"/>
  <c r="F67" i="16"/>
  <c r="F69" i="16"/>
  <c r="F70" i="16"/>
  <c r="F71" i="16"/>
  <c r="F72" i="16"/>
  <c r="F73" i="16"/>
  <c r="F74" i="16"/>
  <c r="F78" i="16"/>
  <c r="J78" i="16"/>
  <c r="K78" i="16"/>
  <c r="F79" i="16"/>
  <c r="F80" i="16"/>
  <c r="F81" i="16"/>
  <c r="J81" i="16"/>
  <c r="K81" i="16"/>
  <c r="F82" i="16"/>
  <c r="F83" i="16"/>
  <c r="F84" i="16"/>
  <c r="F85" i="16"/>
  <c r="F87" i="16"/>
  <c r="J87" i="16"/>
  <c r="K87" i="16"/>
  <c r="F88" i="16"/>
  <c r="F89" i="16"/>
  <c r="F90" i="16"/>
  <c r="F91" i="16"/>
  <c r="F93" i="16"/>
  <c r="J93" i="16"/>
  <c r="K93" i="16"/>
  <c r="F94" i="16"/>
  <c r="F95" i="16"/>
  <c r="J95" i="16"/>
  <c r="K95" i="16"/>
  <c r="F96" i="16"/>
  <c r="F97" i="16"/>
  <c r="F98" i="16"/>
  <c r="F101" i="16"/>
  <c r="J101" i="16"/>
  <c r="K101" i="16"/>
  <c r="F102" i="16"/>
  <c r="F103" i="16"/>
  <c r="F104" i="16"/>
  <c r="F105" i="16"/>
  <c r="J105" i="16"/>
  <c r="K105" i="16"/>
  <c r="F106" i="16"/>
  <c r="F107" i="16"/>
  <c r="F108" i="16"/>
  <c r="J108" i="16"/>
  <c r="K108" i="16"/>
  <c r="I108" i="16" s="1"/>
  <c r="F109" i="16"/>
  <c r="F110" i="16"/>
  <c r="J110" i="16"/>
  <c r="K110" i="16"/>
  <c r="F111" i="16"/>
  <c r="F112" i="16"/>
  <c r="J112" i="16"/>
  <c r="K112" i="16"/>
  <c r="F113" i="16"/>
  <c r="F115" i="16"/>
  <c r="J115" i="16"/>
  <c r="K115" i="16"/>
  <c r="F116" i="16"/>
  <c r="F117" i="16"/>
  <c r="J117" i="16"/>
  <c r="K117" i="16"/>
  <c r="F118" i="16"/>
  <c r="F119" i="16"/>
  <c r="F121" i="16"/>
  <c r="J121" i="16"/>
  <c r="K121" i="16"/>
  <c r="F122" i="16"/>
  <c r="F123" i="16"/>
  <c r="J123" i="16"/>
  <c r="I123" i="16" s="1"/>
  <c r="K123" i="16"/>
  <c r="F124" i="16"/>
  <c r="F125" i="16"/>
  <c r="F126" i="16"/>
  <c r="J126" i="16"/>
  <c r="K126" i="16"/>
  <c r="F127" i="16"/>
  <c r="F128" i="16"/>
  <c r="J128" i="16"/>
  <c r="K128" i="16"/>
  <c r="F129" i="16"/>
  <c r="F130" i="16"/>
  <c r="F132" i="16"/>
  <c r="F133" i="16"/>
  <c r="F135" i="16"/>
  <c r="F136" i="16"/>
  <c r="F137" i="16"/>
  <c r="F138" i="16"/>
  <c r="F139" i="16"/>
  <c r="F140" i="16"/>
  <c r="F144" i="16"/>
  <c r="J144" i="16"/>
  <c r="K144" i="16"/>
  <c r="F145" i="16"/>
  <c r="F146" i="16"/>
  <c r="F147" i="16"/>
  <c r="J147" i="16"/>
  <c r="K147" i="16"/>
  <c r="F148" i="16"/>
  <c r="F149" i="16"/>
  <c r="F150" i="16"/>
  <c r="F151" i="16"/>
  <c r="F153" i="16"/>
  <c r="J153" i="16"/>
  <c r="K153" i="16"/>
  <c r="F154" i="16"/>
  <c r="F155" i="16"/>
  <c r="F156" i="16"/>
  <c r="F157" i="16"/>
  <c r="F159" i="16"/>
  <c r="J159" i="16"/>
  <c r="I159" i="16" s="1"/>
  <c r="K159" i="16"/>
  <c r="F160" i="16"/>
  <c r="F161" i="16"/>
  <c r="F162" i="16"/>
  <c r="F165" i="16"/>
  <c r="J165" i="16"/>
  <c r="K165" i="16"/>
  <c r="F166" i="16"/>
  <c r="F167" i="16"/>
  <c r="F168" i="16"/>
  <c r="F169" i="16"/>
  <c r="J169" i="16"/>
  <c r="K169" i="16"/>
  <c r="F170" i="16"/>
  <c r="F171" i="16"/>
  <c r="F172" i="16"/>
  <c r="J172" i="16"/>
  <c r="K172" i="16"/>
  <c r="F173" i="16"/>
  <c r="F174" i="16"/>
  <c r="J174" i="16"/>
  <c r="I174" i="16" s="1"/>
  <c r="K174" i="16"/>
  <c r="F175" i="16"/>
  <c r="F176" i="16"/>
  <c r="J176" i="16"/>
  <c r="K176" i="16"/>
  <c r="F177" i="16"/>
  <c r="F179" i="16"/>
  <c r="J179" i="16"/>
  <c r="K179" i="16"/>
  <c r="F180" i="16"/>
  <c r="F181" i="16"/>
  <c r="J181" i="16"/>
  <c r="I181" i="16" s="1"/>
  <c r="K181" i="16"/>
  <c r="F182" i="16"/>
  <c r="F183" i="16"/>
  <c r="F185" i="16"/>
  <c r="J185" i="16"/>
  <c r="K185" i="16"/>
  <c r="F186" i="16"/>
  <c r="F187" i="16"/>
  <c r="J187" i="16"/>
  <c r="K187" i="16"/>
  <c r="F188" i="16"/>
  <c r="F189" i="16"/>
  <c r="F190" i="16"/>
  <c r="J190" i="16"/>
  <c r="K190" i="16"/>
  <c r="F191" i="16"/>
  <c r="F192" i="16"/>
  <c r="J192" i="16"/>
  <c r="K192" i="16"/>
  <c r="F193" i="16"/>
  <c r="F194" i="16"/>
  <c r="F196" i="16"/>
  <c r="F197" i="16"/>
  <c r="F199" i="16"/>
  <c r="F200" i="16"/>
  <c r="F201" i="16"/>
  <c r="F202" i="16"/>
  <c r="F203" i="16"/>
  <c r="F204" i="16"/>
  <c r="F208" i="16"/>
  <c r="J208" i="16"/>
  <c r="I208" i="16" s="1"/>
  <c r="K208" i="16"/>
  <c r="F209" i="16"/>
  <c r="F210" i="16"/>
  <c r="F211" i="16"/>
  <c r="J211" i="16"/>
  <c r="K211" i="16"/>
  <c r="F212" i="16"/>
  <c r="F213" i="16"/>
  <c r="F214" i="16"/>
  <c r="F215" i="16"/>
  <c r="F217" i="16"/>
  <c r="F218" i="16"/>
  <c r="F219" i="16"/>
  <c r="F220" i="16"/>
  <c r="F221" i="16"/>
  <c r="F224" i="16"/>
  <c r="J224" i="16"/>
  <c r="I224" i="16" s="1"/>
  <c r="K224" i="16"/>
  <c r="F225" i="16"/>
  <c r="F226" i="16"/>
  <c r="F227" i="16"/>
  <c r="F228" i="16"/>
  <c r="J228" i="16"/>
  <c r="K228" i="16"/>
  <c r="F229" i="16"/>
  <c r="F230" i="16"/>
  <c r="F231" i="16"/>
  <c r="J231" i="16"/>
  <c r="I231" i="16" s="1"/>
  <c r="K231" i="16"/>
  <c r="F232" i="16"/>
  <c r="F233" i="16"/>
  <c r="J233" i="16"/>
  <c r="K233" i="16"/>
  <c r="F234" i="16"/>
  <c r="F235" i="16"/>
  <c r="J235" i="16"/>
  <c r="K235" i="16"/>
  <c r="F236" i="16"/>
  <c r="F238" i="16"/>
  <c r="F239" i="16"/>
  <c r="F241" i="16"/>
  <c r="F242" i="16"/>
  <c r="F243" i="16"/>
  <c r="F244" i="16"/>
  <c r="F245" i="16"/>
  <c r="F246" i="16"/>
  <c r="F249" i="16"/>
  <c r="J249" i="16"/>
  <c r="K249" i="16"/>
  <c r="F250" i="16"/>
  <c r="F251" i="16"/>
  <c r="J251" i="16"/>
  <c r="K251" i="16"/>
  <c r="F252" i="16"/>
  <c r="F253" i="16"/>
  <c r="J253" i="16"/>
  <c r="K253" i="16"/>
  <c r="F254" i="16"/>
  <c r="F256" i="16"/>
  <c r="F257" i="16"/>
  <c r="J257" i="16"/>
  <c r="K257" i="16"/>
  <c r="F258" i="16"/>
  <c r="J258" i="16"/>
  <c r="K258" i="16"/>
  <c r="F259" i="16"/>
  <c r="J259" i="16"/>
  <c r="K259" i="16"/>
  <c r="F260" i="16"/>
  <c r="J260" i="16"/>
  <c r="K260" i="16"/>
  <c r="F262" i="16"/>
  <c r="J262" i="16"/>
  <c r="K262" i="16"/>
  <c r="F263" i="16"/>
  <c r="F264" i="16"/>
  <c r="F266" i="16"/>
  <c r="J266" i="16"/>
  <c r="K266" i="16"/>
  <c r="F267" i="16"/>
  <c r="F269" i="16"/>
  <c r="J269" i="16"/>
  <c r="I269" i="16" s="1"/>
  <c r="K269" i="16"/>
  <c r="F270" i="16"/>
  <c r="F271" i="16"/>
  <c r="F272" i="16"/>
  <c r="J272" i="16"/>
  <c r="K272" i="16"/>
  <c r="F273" i="16"/>
  <c r="F274" i="16"/>
  <c r="J274" i="16"/>
  <c r="K274" i="16"/>
  <c r="F275" i="16"/>
  <c r="F276" i="16"/>
  <c r="F277" i="16"/>
  <c r="J277" i="16"/>
  <c r="K277" i="16"/>
  <c r="F278" i="16"/>
  <c r="F279" i="16"/>
  <c r="K12" i="16"/>
  <c r="J12" i="16"/>
  <c r="F12" i="16"/>
  <c r="I251" i="16" l="1"/>
  <c r="I165" i="16"/>
  <c r="I93" i="16"/>
  <c r="I249" i="16"/>
  <c r="I35" i="16"/>
  <c r="I147" i="16"/>
  <c r="I258" i="16"/>
  <c r="I87" i="16"/>
  <c r="I274" i="16"/>
  <c r="I266" i="16"/>
  <c r="I105" i="16"/>
  <c r="I60" i="16"/>
  <c r="I115" i="16"/>
  <c r="I176" i="16"/>
  <c r="I153" i="16"/>
  <c r="I81" i="16"/>
  <c r="I169" i="16"/>
  <c r="I128" i="16"/>
  <c r="I29" i="16"/>
  <c r="I253" i="16"/>
  <c r="I62" i="16"/>
  <c r="I272" i="16"/>
  <c r="I260" i="16"/>
  <c r="I233" i="16"/>
  <c r="I121" i="16"/>
  <c r="I179" i="16"/>
  <c r="I144" i="16"/>
  <c r="I42" i="16"/>
  <c r="I15" i="16"/>
  <c r="I110" i="16"/>
  <c r="I228" i="16"/>
  <c r="I190" i="16"/>
  <c r="I55" i="16"/>
  <c r="I235" i="16"/>
  <c r="I126" i="16"/>
  <c r="I78" i="16"/>
  <c r="I27" i="16"/>
  <c r="I277" i="16"/>
  <c r="I262" i="16"/>
  <c r="I185" i="16"/>
  <c r="I172" i="16"/>
  <c r="I117" i="16"/>
  <c r="I112" i="16"/>
  <c r="I101" i="16"/>
  <c r="I95" i="16"/>
  <c r="I49" i="16"/>
  <c r="I44" i="16"/>
  <c r="I257" i="16"/>
  <c r="I192" i="16"/>
  <c r="I259" i="16"/>
  <c r="I187" i="16"/>
  <c r="I211" i="16"/>
  <c r="I12" i="16"/>
  <c r="M250" i="16" l="1"/>
  <c r="E217" i="16"/>
  <c r="J217" i="16" l="1"/>
  <c r="K217" i="16"/>
  <c r="E236" i="16"/>
  <c r="E234" i="16"/>
  <c r="E238" i="16"/>
  <c r="E186" i="16"/>
  <c r="E177" i="16"/>
  <c r="E175" i="16"/>
  <c r="C148" i="16"/>
  <c r="E148" i="16" s="1"/>
  <c r="E132" i="16"/>
  <c r="E94" i="16"/>
  <c r="E122" i="16"/>
  <c r="E113" i="16"/>
  <c r="E111" i="16"/>
  <c r="E28" i="16"/>
  <c r="E56" i="16"/>
  <c r="E45" i="16"/>
  <c r="E43" i="16"/>
  <c r="E18" i="16"/>
  <c r="J122" i="16" l="1"/>
  <c r="K122" i="16"/>
  <c r="J94" i="16"/>
  <c r="K94" i="16"/>
  <c r="E133" i="16"/>
  <c r="K132" i="16"/>
  <c r="J132" i="16"/>
  <c r="K177" i="16"/>
  <c r="J177" i="16"/>
  <c r="J45" i="16"/>
  <c r="K45" i="16"/>
  <c r="I45" i="16" s="1"/>
  <c r="J148" i="16"/>
  <c r="I148" i="16" s="1"/>
  <c r="K148" i="16"/>
  <c r="J18" i="16"/>
  <c r="K18" i="16"/>
  <c r="I18" i="16" s="1"/>
  <c r="K175" i="16"/>
  <c r="J175" i="16"/>
  <c r="I175" i="16" s="1"/>
  <c r="K43" i="16"/>
  <c r="J43" i="16"/>
  <c r="K186" i="16"/>
  <c r="J186" i="16"/>
  <c r="I186" i="16" s="1"/>
  <c r="J56" i="16"/>
  <c r="K56" i="16"/>
  <c r="E239" i="16"/>
  <c r="K238" i="16"/>
  <c r="J238" i="16"/>
  <c r="J234" i="16"/>
  <c r="K234" i="16"/>
  <c r="K236" i="16"/>
  <c r="J236" i="16"/>
  <c r="J28" i="16"/>
  <c r="K28" i="16"/>
  <c r="E67" i="16"/>
  <c r="J66" i="16"/>
  <c r="K66" i="16"/>
  <c r="J111" i="16"/>
  <c r="I111" i="16" s="1"/>
  <c r="K111" i="16"/>
  <c r="J113" i="16"/>
  <c r="K113" i="16"/>
  <c r="I217" i="16"/>
  <c r="O195" i="16"/>
  <c r="A12" i="16"/>
  <c r="A13" i="16" s="1"/>
  <c r="A14" i="16" s="1"/>
  <c r="A15" i="16" s="1"/>
  <c r="A16" i="16" s="1"/>
  <c r="A17" i="16" s="1"/>
  <c r="A18" i="16" s="1"/>
  <c r="A19" i="16" s="1"/>
  <c r="A22" i="16" s="1"/>
  <c r="A23" i="16" s="1"/>
  <c r="A24" i="16" s="1"/>
  <c r="A25" i="16" s="1"/>
  <c r="E254" i="16"/>
  <c r="E252" i="16"/>
  <c r="E250" i="16"/>
  <c r="E138" i="16"/>
  <c r="E135" i="16"/>
  <c r="E202" i="16"/>
  <c r="E199" i="16"/>
  <c r="E244" i="16"/>
  <c r="C245" i="16"/>
  <c r="E241" i="16"/>
  <c r="C246" i="16"/>
  <c r="C243" i="16"/>
  <c r="C242" i="16"/>
  <c r="C204" i="16"/>
  <c r="C203" i="16"/>
  <c r="C201" i="16"/>
  <c r="C200" i="16"/>
  <c r="C140" i="16"/>
  <c r="C139" i="16"/>
  <c r="C137" i="16"/>
  <c r="C136" i="16"/>
  <c r="C74" i="16"/>
  <c r="C73" i="16"/>
  <c r="E72" i="16"/>
  <c r="C71" i="16"/>
  <c r="C70" i="16"/>
  <c r="E69" i="16"/>
  <c r="C271" i="16"/>
  <c r="E271" i="16" s="1"/>
  <c r="C279" i="16"/>
  <c r="C278" i="16"/>
  <c r="C276" i="16"/>
  <c r="C275" i="16"/>
  <c r="R259" i="16"/>
  <c r="R258" i="16"/>
  <c r="I43" i="16" l="1"/>
  <c r="I236" i="16"/>
  <c r="I113" i="16"/>
  <c r="I122" i="16"/>
  <c r="I66" i="16"/>
  <c r="I177" i="16"/>
  <c r="I56" i="16"/>
  <c r="K138" i="16"/>
  <c r="J138" i="16"/>
  <c r="I132" i="16"/>
  <c r="J239" i="16"/>
  <c r="K239" i="16"/>
  <c r="J67" i="16"/>
  <c r="K67" i="16"/>
  <c r="J133" i="16"/>
  <c r="K133" i="16"/>
  <c r="J271" i="16"/>
  <c r="K271" i="16"/>
  <c r="J69" i="16"/>
  <c r="K69" i="16"/>
  <c r="J241" i="16"/>
  <c r="K241" i="16"/>
  <c r="J250" i="16"/>
  <c r="K250" i="16"/>
  <c r="J254" i="16"/>
  <c r="K254" i="16"/>
  <c r="I234" i="16"/>
  <c r="I94" i="16"/>
  <c r="J202" i="16"/>
  <c r="K202" i="16"/>
  <c r="J135" i="16"/>
  <c r="K135" i="16"/>
  <c r="K252" i="16"/>
  <c r="J252" i="16"/>
  <c r="I28" i="16"/>
  <c r="J72" i="16"/>
  <c r="K72" i="16"/>
  <c r="J244" i="16"/>
  <c r="K244" i="16"/>
  <c r="I238" i="16"/>
  <c r="J199" i="16"/>
  <c r="K199" i="16"/>
  <c r="E137" i="16"/>
  <c r="E136" i="16"/>
  <c r="E140" i="16"/>
  <c r="E139" i="16"/>
  <c r="E71" i="16"/>
  <c r="E70" i="16"/>
  <c r="E74" i="16"/>
  <c r="E73" i="16"/>
  <c r="A28" i="16"/>
  <c r="A29" i="16" s="1"/>
  <c r="A30" i="16" s="1"/>
  <c r="A31" i="16" s="1"/>
  <c r="A32" i="16" s="1"/>
  <c r="A36" i="16" s="1"/>
  <c r="A37" i="16" s="1"/>
  <c r="A38" i="16" s="1"/>
  <c r="A39" i="16" s="1"/>
  <c r="A40" i="16" s="1"/>
  <c r="A41" i="16" s="1"/>
  <c r="A42" i="16" s="1"/>
  <c r="A43" i="16" s="1"/>
  <c r="R260" i="16"/>
  <c r="E256" i="16" s="1"/>
  <c r="I241" i="16" l="1"/>
  <c r="I72" i="16"/>
  <c r="I133" i="16"/>
  <c r="I67" i="16"/>
  <c r="J139" i="16"/>
  <c r="K139" i="16"/>
  <c r="I252" i="16"/>
  <c r="I254" i="16"/>
  <c r="I250" i="16"/>
  <c r="I138" i="16"/>
  <c r="I244" i="16"/>
  <c r="K70" i="16"/>
  <c r="J70" i="16"/>
  <c r="J136" i="16"/>
  <c r="K136" i="16"/>
  <c r="J256" i="16"/>
  <c r="K256" i="16"/>
  <c r="J73" i="16"/>
  <c r="K73" i="16"/>
  <c r="K74" i="16"/>
  <c r="J74" i="16"/>
  <c r="I74" i="16" s="1"/>
  <c r="J71" i="16"/>
  <c r="K71" i="16"/>
  <c r="I239" i="16"/>
  <c r="J140" i="16"/>
  <c r="K140" i="16"/>
  <c r="K137" i="16"/>
  <c r="J137" i="16"/>
  <c r="I135" i="16"/>
  <c r="I69" i="16"/>
  <c r="I199" i="16"/>
  <c r="I202" i="16"/>
  <c r="I271" i="16"/>
  <c r="A44" i="16"/>
  <c r="A45" i="16" s="1"/>
  <c r="A46" i="16" s="1"/>
  <c r="A47" i="16" s="1"/>
  <c r="A50" i="16" s="1"/>
  <c r="A51" i="16" s="1"/>
  <c r="A52" i="16" s="1"/>
  <c r="A53" i="16" s="1"/>
  <c r="O196" i="16"/>
  <c r="E196" i="16" s="1"/>
  <c r="I256" i="16" l="1"/>
  <c r="I136" i="16"/>
  <c r="I139" i="16"/>
  <c r="I70" i="16"/>
  <c r="E197" i="16"/>
  <c r="J196" i="16"/>
  <c r="K196" i="16"/>
  <c r="I71" i="16"/>
  <c r="I73" i="16"/>
  <c r="I140" i="16"/>
  <c r="I137" i="16"/>
  <c r="A56" i="16"/>
  <c r="A57" i="16" s="1"/>
  <c r="A58" i="16" s="1"/>
  <c r="A59" i="16" s="1"/>
  <c r="A60" i="16" s="1"/>
  <c r="A61" i="16" s="1"/>
  <c r="M254" i="16"/>
  <c r="M252" i="16"/>
  <c r="I196" i="16" l="1"/>
  <c r="J197" i="16"/>
  <c r="K197" i="16"/>
  <c r="A62" i="16"/>
  <c r="A63" i="16" s="1"/>
  <c r="A64" i="16" s="1"/>
  <c r="A67" i="16" s="1"/>
  <c r="A70" i="16" s="1"/>
  <c r="A71" i="16" s="1"/>
  <c r="A72" i="16" s="1"/>
  <c r="A73" i="16" s="1"/>
  <c r="A74" i="16" s="1"/>
  <c r="A79" i="16" s="1"/>
  <c r="A80" i="16" s="1"/>
  <c r="A81" i="16" s="1"/>
  <c r="A82" i="16" s="1"/>
  <c r="A83" i="16" s="1"/>
  <c r="A84" i="16" s="1"/>
  <c r="A85" i="16" s="1"/>
  <c r="A88" i="16" s="1"/>
  <c r="A89" i="16" s="1"/>
  <c r="A90" i="16" s="1"/>
  <c r="A91" i="16" s="1"/>
  <c r="E37" i="16"/>
  <c r="E226" i="16"/>
  <c r="E246" i="16"/>
  <c r="E245" i="16"/>
  <c r="E243" i="16"/>
  <c r="E242" i="16"/>
  <c r="E232" i="16"/>
  <c r="E230" i="16"/>
  <c r="E229" i="16"/>
  <c r="C227" i="16"/>
  <c r="E225" i="16"/>
  <c r="C221" i="16"/>
  <c r="E221" i="16" s="1"/>
  <c r="E220" i="16"/>
  <c r="E219" i="16"/>
  <c r="C218" i="16"/>
  <c r="E218" i="16" s="1"/>
  <c r="C215" i="16"/>
  <c r="E215" i="16" s="1"/>
  <c r="E214" i="16"/>
  <c r="E213" i="16"/>
  <c r="C212" i="16"/>
  <c r="E212" i="16" s="1"/>
  <c r="E210" i="16"/>
  <c r="C209" i="16"/>
  <c r="E209" i="16" s="1"/>
  <c r="E167" i="16"/>
  <c r="E279" i="16"/>
  <c r="E278" i="16"/>
  <c r="E276" i="16"/>
  <c r="E275" i="16"/>
  <c r="C273" i="16"/>
  <c r="E273" i="16" s="1"/>
  <c r="C270" i="16"/>
  <c r="E270" i="16" s="1"/>
  <c r="C267" i="16"/>
  <c r="E267" i="16" s="1"/>
  <c r="E264" i="16"/>
  <c r="C263" i="16"/>
  <c r="E263" i="16" s="1"/>
  <c r="E204" i="16"/>
  <c r="E203" i="16"/>
  <c r="E201" i="16"/>
  <c r="E200" i="16"/>
  <c r="E194" i="16"/>
  <c r="E193" i="16"/>
  <c r="E191" i="16"/>
  <c r="E189" i="16"/>
  <c r="E188" i="16"/>
  <c r="E183" i="16"/>
  <c r="E182" i="16"/>
  <c r="C180" i="16"/>
  <c r="E180" i="16" s="1"/>
  <c r="E173" i="16"/>
  <c r="E171" i="16"/>
  <c r="E170" i="16"/>
  <c r="C168" i="16"/>
  <c r="E166" i="16"/>
  <c r="C162" i="16"/>
  <c r="E162" i="16" s="1"/>
  <c r="E161" i="16"/>
  <c r="E160" i="16"/>
  <c r="C157" i="16"/>
  <c r="E157" i="16" s="1"/>
  <c r="E156" i="16"/>
  <c r="E155" i="16"/>
  <c r="C154" i="16"/>
  <c r="E154" i="16" s="1"/>
  <c r="C151" i="16"/>
  <c r="E151" i="16" s="1"/>
  <c r="E150" i="16"/>
  <c r="E149" i="16"/>
  <c r="E146" i="16"/>
  <c r="C145" i="16"/>
  <c r="E145" i="16" s="1"/>
  <c r="E103" i="16"/>
  <c r="E119" i="16"/>
  <c r="E118" i="16"/>
  <c r="E130" i="16"/>
  <c r="E129" i="16"/>
  <c r="E127" i="16"/>
  <c r="E125" i="16"/>
  <c r="E124" i="16"/>
  <c r="C116" i="16"/>
  <c r="E116" i="16" s="1"/>
  <c r="E109" i="16"/>
  <c r="E107" i="16"/>
  <c r="E106" i="16"/>
  <c r="C104" i="16"/>
  <c r="E102" i="16"/>
  <c r="C98" i="16"/>
  <c r="E98" i="16" s="1"/>
  <c r="E97" i="16"/>
  <c r="E96" i="16"/>
  <c r="C91" i="16"/>
  <c r="E91" i="16" s="1"/>
  <c r="E90" i="16"/>
  <c r="E89" i="16"/>
  <c r="C88" i="16"/>
  <c r="E88" i="16" s="1"/>
  <c r="C85" i="16"/>
  <c r="E85" i="16" s="1"/>
  <c r="E84" i="16"/>
  <c r="E83" i="16"/>
  <c r="C82" i="16"/>
  <c r="E82" i="16" s="1"/>
  <c r="E80" i="16"/>
  <c r="C79" i="16"/>
  <c r="E79" i="16" s="1"/>
  <c r="J173" i="16" l="1"/>
  <c r="K173" i="16"/>
  <c r="J204" i="16"/>
  <c r="K204" i="16"/>
  <c r="J210" i="16"/>
  <c r="K210" i="16"/>
  <c r="J230" i="16"/>
  <c r="K230" i="16"/>
  <c r="J90" i="16"/>
  <c r="K90" i="16"/>
  <c r="J182" i="16"/>
  <c r="K182" i="16"/>
  <c r="J264" i="16"/>
  <c r="K264" i="16"/>
  <c r="J213" i="16"/>
  <c r="K213" i="16"/>
  <c r="J242" i="16"/>
  <c r="K242" i="16"/>
  <c r="J89" i="16"/>
  <c r="K89" i="16"/>
  <c r="J91" i="16"/>
  <c r="K91" i="16"/>
  <c r="J96" i="16"/>
  <c r="K96" i="16"/>
  <c r="J129" i="16"/>
  <c r="K129" i="16"/>
  <c r="J156" i="16"/>
  <c r="I156" i="16" s="1"/>
  <c r="K156" i="16"/>
  <c r="K183" i="16"/>
  <c r="J183" i="16"/>
  <c r="I183" i="16" s="1"/>
  <c r="J267" i="16"/>
  <c r="K267" i="16"/>
  <c r="K214" i="16"/>
  <c r="J214" i="16"/>
  <c r="J243" i="16"/>
  <c r="K243" i="16"/>
  <c r="J124" i="16"/>
  <c r="K124" i="16"/>
  <c r="K127" i="16"/>
  <c r="J127" i="16"/>
  <c r="K97" i="16"/>
  <c r="J97" i="16"/>
  <c r="I97" i="16" s="1"/>
  <c r="J130" i="16"/>
  <c r="K130" i="16"/>
  <c r="J157" i="16"/>
  <c r="K157" i="16"/>
  <c r="K188" i="16"/>
  <c r="J188" i="16"/>
  <c r="J270" i="16"/>
  <c r="K270" i="16"/>
  <c r="J215" i="16"/>
  <c r="I215" i="16" s="1"/>
  <c r="K215" i="16"/>
  <c r="J245" i="16"/>
  <c r="K245" i="16"/>
  <c r="J212" i="16"/>
  <c r="K212" i="16"/>
  <c r="K160" i="16"/>
  <c r="J160" i="16"/>
  <c r="K246" i="16"/>
  <c r="J246" i="16"/>
  <c r="J151" i="16"/>
  <c r="K151" i="16"/>
  <c r="J79" i="16"/>
  <c r="I79" i="16" s="1"/>
  <c r="K79" i="16"/>
  <c r="J118" i="16"/>
  <c r="K118" i="16"/>
  <c r="K273" i="16"/>
  <c r="J273" i="16"/>
  <c r="J80" i="16"/>
  <c r="K80" i="16"/>
  <c r="J119" i="16"/>
  <c r="K119" i="16"/>
  <c r="J161" i="16"/>
  <c r="K161" i="16"/>
  <c r="J191" i="16"/>
  <c r="K191" i="16"/>
  <c r="J275" i="16"/>
  <c r="K275" i="16"/>
  <c r="K219" i="16"/>
  <c r="J219" i="16"/>
  <c r="K226" i="16"/>
  <c r="J226" i="16"/>
  <c r="J232" i="16"/>
  <c r="K232" i="16"/>
  <c r="K98" i="16"/>
  <c r="J98" i="16"/>
  <c r="I98" i="16" s="1"/>
  <c r="J189" i="16"/>
  <c r="I189" i="16" s="1"/>
  <c r="K189" i="16"/>
  <c r="J218" i="16"/>
  <c r="K218" i="16"/>
  <c r="J102" i="16"/>
  <c r="K102" i="16"/>
  <c r="J82" i="16"/>
  <c r="K82" i="16"/>
  <c r="J103" i="16"/>
  <c r="K103" i="16"/>
  <c r="J162" i="16"/>
  <c r="K162" i="16"/>
  <c r="I162" i="16" s="1"/>
  <c r="J193" i="16"/>
  <c r="I193" i="16" s="1"/>
  <c r="K193" i="16"/>
  <c r="K276" i="16"/>
  <c r="J276" i="16"/>
  <c r="J220" i="16"/>
  <c r="K220" i="16"/>
  <c r="J37" i="16"/>
  <c r="K37" i="16"/>
  <c r="K263" i="16"/>
  <c r="J263" i="16"/>
  <c r="J83" i="16"/>
  <c r="K83" i="16"/>
  <c r="J166" i="16"/>
  <c r="I166" i="16" s="1"/>
  <c r="K166" i="16"/>
  <c r="J278" i="16"/>
  <c r="K278" i="16"/>
  <c r="J154" i="16"/>
  <c r="K154" i="16"/>
  <c r="J194" i="16"/>
  <c r="K194" i="16"/>
  <c r="J180" i="16"/>
  <c r="K180" i="16"/>
  <c r="J145" i="16"/>
  <c r="K145" i="16"/>
  <c r="J221" i="16"/>
  <c r="K221" i="16"/>
  <c r="J84" i="16"/>
  <c r="K84" i="16"/>
  <c r="J107" i="16"/>
  <c r="K107" i="16"/>
  <c r="J146" i="16"/>
  <c r="K146" i="16"/>
  <c r="K200" i="16"/>
  <c r="J200" i="16"/>
  <c r="J279" i="16"/>
  <c r="K279" i="16"/>
  <c r="J225" i="16"/>
  <c r="I225" i="16" s="1"/>
  <c r="K225" i="16"/>
  <c r="J85" i="16"/>
  <c r="K85" i="16"/>
  <c r="J109" i="16"/>
  <c r="K109" i="16"/>
  <c r="K149" i="16"/>
  <c r="J149" i="16"/>
  <c r="J170" i="16"/>
  <c r="K170" i="16"/>
  <c r="J201" i="16"/>
  <c r="K201" i="16"/>
  <c r="J167" i="16"/>
  <c r="K167" i="16"/>
  <c r="E227" i="16"/>
  <c r="I197" i="16"/>
  <c r="K125" i="16"/>
  <c r="J125" i="16"/>
  <c r="I125" i="16" s="1"/>
  <c r="J155" i="16"/>
  <c r="K155" i="16"/>
  <c r="K106" i="16"/>
  <c r="J106" i="16"/>
  <c r="J88" i="16"/>
  <c r="K88" i="16"/>
  <c r="K116" i="16"/>
  <c r="J116" i="16"/>
  <c r="J150" i="16"/>
  <c r="K150" i="16"/>
  <c r="J171" i="16"/>
  <c r="K171" i="16"/>
  <c r="J203" i="16"/>
  <c r="K203" i="16"/>
  <c r="J209" i="16"/>
  <c r="K209" i="16"/>
  <c r="J229" i="16"/>
  <c r="K229" i="16"/>
  <c r="A94" i="16"/>
  <c r="A95" i="16" s="1"/>
  <c r="A96" i="16" s="1"/>
  <c r="A97" i="16" s="1"/>
  <c r="A98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6" i="16" s="1"/>
  <c r="A117" i="16" s="1"/>
  <c r="A118" i="16" s="1"/>
  <c r="A119" i="16" s="1"/>
  <c r="E168" i="16"/>
  <c r="E104" i="16"/>
  <c r="I103" i="16" l="1"/>
  <c r="I119" i="16"/>
  <c r="I243" i="16"/>
  <c r="I182" i="16"/>
  <c r="I170" i="16"/>
  <c r="I209" i="16"/>
  <c r="I85" i="16"/>
  <c r="I84" i="16"/>
  <c r="I180" i="16"/>
  <c r="I204" i="16"/>
  <c r="I200" i="16"/>
  <c r="I221" i="16"/>
  <c r="I232" i="16"/>
  <c r="I167" i="16"/>
  <c r="I149" i="16"/>
  <c r="I226" i="16"/>
  <c r="I160" i="16"/>
  <c r="I214" i="16"/>
  <c r="I90" i="16"/>
  <c r="I212" i="16"/>
  <c r="I130" i="16"/>
  <c r="I267" i="16"/>
  <c r="I89" i="16"/>
  <c r="I230" i="16"/>
  <c r="I278" i="16"/>
  <c r="I218" i="16"/>
  <c r="I275" i="16"/>
  <c r="I118" i="16"/>
  <c r="I245" i="16"/>
  <c r="I242" i="16"/>
  <c r="I106" i="16"/>
  <c r="I263" i="16"/>
  <c r="I246" i="16"/>
  <c r="I188" i="16"/>
  <c r="I96" i="16"/>
  <c r="I194" i="16"/>
  <c r="I82" i="16"/>
  <c r="I219" i="16"/>
  <c r="I273" i="16"/>
  <c r="I155" i="16"/>
  <c r="I80" i="16"/>
  <c r="I109" i="16"/>
  <c r="I102" i="16"/>
  <c r="I146" i="16"/>
  <c r="I171" i="16"/>
  <c r="I154" i="16"/>
  <c r="I150" i="16"/>
  <c r="I276" i="16"/>
  <c r="I91" i="16"/>
  <c r="I107" i="16"/>
  <c r="K104" i="16"/>
  <c r="J104" i="16"/>
  <c r="I104" i="16" s="1"/>
  <c r="J227" i="16"/>
  <c r="K227" i="16"/>
  <c r="I210" i="16"/>
  <c r="I220" i="16"/>
  <c r="J168" i="16"/>
  <c r="K168" i="16"/>
  <c r="I168" i="16" s="1"/>
  <c r="I116" i="16"/>
  <c r="I191" i="16"/>
  <c r="I127" i="16"/>
  <c r="I213" i="16"/>
  <c r="I157" i="16"/>
  <c r="I203" i="16"/>
  <c r="I37" i="16"/>
  <c r="I229" i="16"/>
  <c r="I88" i="16"/>
  <c r="I201" i="16"/>
  <c r="I279" i="16"/>
  <c r="I145" i="16"/>
  <c r="I83" i="16"/>
  <c r="I161" i="16"/>
  <c r="I151" i="16"/>
  <c r="I270" i="16"/>
  <c r="I124" i="16"/>
  <c r="I129" i="16"/>
  <c r="I264" i="16"/>
  <c r="I173" i="16"/>
  <c r="A122" i="16"/>
  <c r="A123" i="16" s="1"/>
  <c r="A124" i="16" s="1"/>
  <c r="A125" i="16" s="1"/>
  <c r="A126" i="16" s="1"/>
  <c r="A127" i="16" s="1"/>
  <c r="A128" i="16" s="1"/>
  <c r="A129" i="16" s="1"/>
  <c r="A130" i="16" s="1"/>
  <c r="A132" i="16" s="1"/>
  <c r="A133" i="16" s="1"/>
  <c r="A136" i="16" s="1"/>
  <c r="A137" i="16" s="1"/>
  <c r="A138" i="16" s="1"/>
  <c r="A139" i="16" s="1"/>
  <c r="A140" i="16" s="1"/>
  <c r="A145" i="16" s="1"/>
  <c r="A146" i="16" s="1"/>
  <c r="A147" i="16" s="1"/>
  <c r="A148" i="16" s="1"/>
  <c r="A149" i="16" s="1"/>
  <c r="A150" i="16" s="1"/>
  <c r="A151" i="16" s="1"/>
  <c r="A154" i="16" s="1"/>
  <c r="A155" i="16" s="1"/>
  <c r="A156" i="16" s="1"/>
  <c r="A157" i="16" s="1"/>
  <c r="A160" i="16" s="1"/>
  <c r="A161" i="16" s="1"/>
  <c r="A162" i="16" s="1"/>
  <c r="A166" i="16" s="1"/>
  <c r="A167" i="16" s="1"/>
  <c r="A168" i="16" s="1"/>
  <c r="A169" i="16" s="1"/>
  <c r="A170" i="16" s="1"/>
  <c r="A171" i="16" s="1"/>
  <c r="A172" i="16" s="1"/>
  <c r="A173" i="16" s="1"/>
  <c r="I227" i="16" l="1"/>
  <c r="A174" i="16"/>
  <c r="A175" i="16" s="1"/>
  <c r="A176" i="16" s="1"/>
  <c r="A177" i="16" s="1"/>
  <c r="A180" i="16" s="1"/>
  <c r="A181" i="16" s="1"/>
  <c r="A182" i="16" s="1"/>
  <c r="A183" i="16" s="1"/>
  <c r="C32" i="16"/>
  <c r="E32" i="16" s="1"/>
  <c r="E31" i="16"/>
  <c r="E30" i="16"/>
  <c r="J30" i="16" l="1"/>
  <c r="K30" i="16"/>
  <c r="J31" i="16"/>
  <c r="K31" i="16"/>
  <c r="K32" i="16"/>
  <c r="J32" i="16"/>
  <c r="I32" i="16" s="1"/>
  <c r="A186" i="16"/>
  <c r="A187" i="16" s="1"/>
  <c r="A188" i="16" s="1"/>
  <c r="A189" i="16" s="1"/>
  <c r="A190" i="16" s="1"/>
  <c r="A191" i="16" s="1"/>
  <c r="A192" i="16" s="1"/>
  <c r="A193" i="16" s="1"/>
  <c r="A194" i="16" s="1"/>
  <c r="A197" i="16" s="1"/>
  <c r="A200" i="16" s="1"/>
  <c r="A201" i="16" s="1"/>
  <c r="A202" i="16" s="1"/>
  <c r="A203" i="16" s="1"/>
  <c r="A204" i="16" s="1"/>
  <c r="A209" i="16" s="1"/>
  <c r="A210" i="16" s="1"/>
  <c r="A211" i="16" s="1"/>
  <c r="A212" i="16" s="1"/>
  <c r="A213" i="16" s="1"/>
  <c r="A214" i="16" s="1"/>
  <c r="A215" i="16" s="1"/>
  <c r="A218" i="16" s="1"/>
  <c r="A219" i="16" s="1"/>
  <c r="A220" i="16" s="1"/>
  <c r="A221" i="16" s="1"/>
  <c r="A225" i="16" s="1"/>
  <c r="A226" i="16" s="1"/>
  <c r="A227" i="16" s="1"/>
  <c r="A228" i="16" s="1"/>
  <c r="A229" i="16" s="1"/>
  <c r="A230" i="16" s="1"/>
  <c r="A231" i="16" s="1"/>
  <c r="A232" i="16" s="1"/>
  <c r="E64" i="16"/>
  <c r="E63" i="16"/>
  <c r="E61" i="16"/>
  <c r="E59" i="16"/>
  <c r="E58" i="16"/>
  <c r="C25" i="16"/>
  <c r="E25" i="16" s="1"/>
  <c r="E24" i="16"/>
  <c r="E23" i="16"/>
  <c r="C22" i="16"/>
  <c r="E22" i="16" s="1"/>
  <c r="E53" i="16"/>
  <c r="E52" i="16"/>
  <c r="E47" i="16"/>
  <c r="E41" i="16"/>
  <c r="E40" i="16"/>
  <c r="C38" i="16"/>
  <c r="E38" i="16" s="1"/>
  <c r="E36" i="16"/>
  <c r="E17" i="16"/>
  <c r="E14" i="16"/>
  <c r="I31" i="16" l="1"/>
  <c r="J61" i="16"/>
  <c r="K61" i="16"/>
  <c r="J58" i="16"/>
  <c r="K58" i="16"/>
  <c r="K59" i="16"/>
  <c r="J59" i="16"/>
  <c r="I59" i="16" s="1"/>
  <c r="K63" i="16"/>
  <c r="J63" i="16"/>
  <c r="J53" i="16"/>
  <c r="K53" i="16"/>
  <c r="J36" i="16"/>
  <c r="K36" i="16"/>
  <c r="J40" i="16"/>
  <c r="K40" i="16"/>
  <c r="J47" i="16"/>
  <c r="K47" i="16"/>
  <c r="J22" i="16"/>
  <c r="K22" i="16"/>
  <c r="J64" i="16"/>
  <c r="K64" i="16"/>
  <c r="J17" i="16"/>
  <c r="K17" i="16"/>
  <c r="K38" i="16"/>
  <c r="J38" i="16"/>
  <c r="J41" i="16"/>
  <c r="K41" i="16"/>
  <c r="K52" i="16"/>
  <c r="J52" i="16"/>
  <c r="I52" i="16" s="1"/>
  <c r="J23" i="16"/>
  <c r="K23" i="16"/>
  <c r="J24" i="16"/>
  <c r="K24" i="16"/>
  <c r="I24" i="16" s="1"/>
  <c r="J14" i="16"/>
  <c r="K14" i="16"/>
  <c r="K25" i="16"/>
  <c r="J25" i="16"/>
  <c r="I30" i="16"/>
  <c r="A233" i="16"/>
  <c r="A234" i="16" s="1"/>
  <c r="A235" i="16" s="1"/>
  <c r="A236" i="16" s="1"/>
  <c r="A239" i="16" s="1"/>
  <c r="A242" i="16" s="1"/>
  <c r="A243" i="16" s="1"/>
  <c r="A244" i="16" s="1"/>
  <c r="A245" i="16" s="1"/>
  <c r="A246" i="16" s="1"/>
  <c r="A250" i="16" s="1"/>
  <c r="A251" i="16" s="1"/>
  <c r="A252" i="16" s="1"/>
  <c r="A253" i="16" s="1"/>
  <c r="A254" i="16" s="1"/>
  <c r="A257" i="16" s="1"/>
  <c r="A258" i="16" s="1"/>
  <c r="A259" i="16" s="1"/>
  <c r="A260" i="16" s="1"/>
  <c r="C50" i="16"/>
  <c r="E50" i="16" s="1"/>
  <c r="C16" i="16"/>
  <c r="E16" i="16" s="1"/>
  <c r="C19" i="16"/>
  <c r="E19" i="16" s="1"/>
  <c r="C13" i="16"/>
  <c r="E13" i="16" s="1"/>
  <c r="K283" i="16"/>
  <c r="K282" i="16"/>
  <c r="I17" i="16" l="1"/>
  <c r="I58" i="16"/>
  <c r="I53" i="16"/>
  <c r="I25" i="16"/>
  <c r="I38" i="16"/>
  <c r="I36" i="16"/>
  <c r="I14" i="16"/>
  <c r="I63" i="16"/>
  <c r="J19" i="16"/>
  <c r="K19" i="16"/>
  <c r="I23" i="16"/>
  <c r="I22" i="16"/>
  <c r="J13" i="16"/>
  <c r="K13" i="16"/>
  <c r="I64" i="16"/>
  <c r="J16" i="16"/>
  <c r="K16" i="16"/>
  <c r="J50" i="16"/>
  <c r="K50" i="16"/>
  <c r="I47" i="16"/>
  <c r="I41" i="16"/>
  <c r="I40" i="16"/>
  <c r="I61" i="16"/>
  <c r="A263" i="16"/>
  <c r="A264" i="16" s="1"/>
  <c r="A267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I16" i="16" l="1"/>
  <c r="I50" i="16"/>
  <c r="K280" i="16"/>
  <c r="I13" i="16"/>
  <c r="J280" i="16"/>
  <c r="I19" i="16"/>
  <c r="G42" i="11"/>
  <c r="G32" i="11"/>
  <c r="G26" i="11"/>
  <c r="G39" i="11" s="1"/>
  <c r="G33" i="11"/>
  <c r="G37" i="11"/>
  <c r="G34" i="11"/>
  <c r="G41" i="11"/>
  <c r="G38" i="11"/>
  <c r="G10" i="11"/>
  <c r="G35" i="11" s="1"/>
  <c r="G25" i="11"/>
  <c r="G11" i="11"/>
  <c r="G24" i="11"/>
  <c r="G5" i="11"/>
  <c r="G16" i="11"/>
  <c r="G40" i="11" s="1"/>
  <c r="E20" i="11"/>
  <c r="E35" i="11" s="1"/>
  <c r="E24" i="11"/>
  <c r="E18" i="11"/>
  <c r="E6" i="11"/>
  <c r="E37" i="11" s="1"/>
  <c r="E8" i="11"/>
  <c r="E32" i="11" s="1"/>
  <c r="E17" i="11"/>
  <c r="E19" i="11"/>
  <c r="E34" i="11" s="1"/>
  <c r="E9" i="11"/>
  <c r="E10" i="11"/>
  <c r="E38" i="11" s="1"/>
  <c r="E23" i="11"/>
  <c r="E15" i="11"/>
  <c r="E5" i="11"/>
  <c r="E26" i="11"/>
  <c r="E16" i="11"/>
  <c r="E7" i="11"/>
  <c r="E21" i="11"/>
  <c r="E27" i="11"/>
  <c r="E36" i="11" s="1"/>
  <c r="C24" i="11"/>
  <c r="C31" i="11" s="1"/>
  <c r="C6" i="11"/>
  <c r="C35" i="11"/>
  <c r="C8" i="11"/>
  <c r="C34" i="11"/>
  <c r="C26" i="11"/>
  <c r="C33" i="11" s="1"/>
  <c r="C5" i="11"/>
  <c r="C15" i="11"/>
  <c r="C23" i="11"/>
  <c r="C7" i="11"/>
  <c r="C25" i="11"/>
  <c r="G23" i="11"/>
  <c r="G17" i="11"/>
  <c r="G43" i="11" s="1"/>
  <c r="G15" i="11"/>
  <c r="G6" i="11"/>
  <c r="G31" i="11" s="1"/>
  <c r="E25" i="11"/>
  <c r="P17" i="8"/>
  <c r="P18" i="8" s="1"/>
  <c r="O4" i="8"/>
  <c r="D7" i="10"/>
  <c r="D8" i="10"/>
  <c r="C25" i="10"/>
  <c r="O33" i="8"/>
  <c r="C34" i="10" s="1"/>
  <c r="O28" i="8"/>
  <c r="O36" i="8" s="1"/>
  <c r="C37" i="10" s="1"/>
  <c r="P23" i="8"/>
  <c r="P24" i="8" s="1"/>
  <c r="O26" i="8"/>
  <c r="O34" i="8" s="1"/>
  <c r="C35" i="10" s="1"/>
  <c r="O22" i="8"/>
  <c r="O27" i="8" s="1"/>
  <c r="P19" i="8"/>
  <c r="O16" i="8"/>
  <c r="O21" i="8" s="1"/>
  <c r="O7" i="8"/>
  <c r="O49" i="8" s="1"/>
  <c r="C44" i="10" s="1"/>
  <c r="O13" i="8"/>
  <c r="P11" i="8"/>
  <c r="P12" i="8" s="1"/>
  <c r="O10" i="8"/>
  <c r="P10" i="8" s="1"/>
  <c r="O8" i="8"/>
  <c r="O50" i="8" s="1"/>
  <c r="C45" i="10" s="1"/>
  <c r="P5" i="8"/>
  <c r="P47" i="8" s="1"/>
  <c r="D42" i="10" s="1"/>
  <c r="U12" i="8"/>
  <c r="I32" i="8"/>
  <c r="I40" i="8" s="1"/>
  <c r="C27" i="10" s="1"/>
  <c r="I29" i="8"/>
  <c r="J28" i="8"/>
  <c r="J27" i="8"/>
  <c r="I26" i="8"/>
  <c r="I31" i="8" s="1"/>
  <c r="I23" i="8"/>
  <c r="J21" i="8"/>
  <c r="J22" i="8" s="1"/>
  <c r="I20" i="8"/>
  <c r="I17" i="8"/>
  <c r="J15" i="8"/>
  <c r="J16" i="8"/>
  <c r="I14" i="8"/>
  <c r="J11" i="8"/>
  <c r="J12" i="8" s="1"/>
  <c r="I10" i="8"/>
  <c r="I8" i="8"/>
  <c r="I54" i="8" s="1"/>
  <c r="C17" i="10" s="1"/>
  <c r="I7" i="8"/>
  <c r="I53" i="8" s="1"/>
  <c r="C16" i="10" s="1"/>
  <c r="J6" i="8"/>
  <c r="J52" i="8" s="1"/>
  <c r="D15" i="10" s="1"/>
  <c r="J5" i="8"/>
  <c r="J51" i="8" s="1"/>
  <c r="D14" i="10" s="1"/>
  <c r="I4" i="8"/>
  <c r="I9" i="8" s="1"/>
  <c r="I55" i="8" s="1"/>
  <c r="U34" i="8"/>
  <c r="U33" i="8"/>
  <c r="U32" i="8"/>
  <c r="U31" i="8"/>
  <c r="U28" i="8"/>
  <c r="U27" i="8"/>
  <c r="U26" i="8"/>
  <c r="U25" i="8"/>
  <c r="U24" i="8"/>
  <c r="U23" i="8"/>
  <c r="U22" i="8"/>
  <c r="U21" i="8"/>
  <c r="U20" i="8"/>
  <c r="U19" i="8"/>
  <c r="U18" i="8"/>
  <c r="U17" i="8"/>
  <c r="U16" i="8"/>
  <c r="U15" i="8"/>
  <c r="U11" i="8"/>
  <c r="U10" i="8"/>
  <c r="U9" i="8"/>
  <c r="U8" i="8"/>
  <c r="U7" i="8"/>
  <c r="U6" i="8"/>
  <c r="U5" i="8"/>
  <c r="U4" i="8"/>
  <c r="U3" i="8"/>
  <c r="O9" i="8"/>
  <c r="O51" i="8" s="1"/>
  <c r="C40" i="8"/>
  <c r="C47" i="8" s="1"/>
  <c r="C9" i="10" s="1"/>
  <c r="D39" i="8"/>
  <c r="D47" i="8" s="1"/>
  <c r="D9" i="10" s="1"/>
  <c r="C39" i="8"/>
  <c r="D35" i="8"/>
  <c r="D36" i="8" s="1"/>
  <c r="C34" i="8"/>
  <c r="D34" i="8" s="1"/>
  <c r="D30" i="8"/>
  <c r="D31" i="8" s="1"/>
  <c r="C29" i="8"/>
  <c r="D29" i="8" s="1"/>
  <c r="C33" i="8"/>
  <c r="C28" i="8"/>
  <c r="D24" i="8"/>
  <c r="D26" i="8"/>
  <c r="D21" i="8"/>
  <c r="D11" i="8"/>
  <c r="D6" i="8"/>
  <c r="C22" i="8"/>
  <c r="D19" i="8"/>
  <c r="C23" i="8"/>
  <c r="D15" i="8"/>
  <c r="D43" i="8" s="1"/>
  <c r="C17" i="8"/>
  <c r="C12" i="8"/>
  <c r="D9" i="8"/>
  <c r="C8" i="8"/>
  <c r="C7" i="8"/>
  <c r="D4" i="8"/>
  <c r="C13" i="8"/>
  <c r="C14" i="8"/>
  <c r="C18" i="8" s="1"/>
  <c r="D14" i="8"/>
  <c r="C32" i="11" l="1"/>
  <c r="P22" i="8"/>
  <c r="I280" i="16"/>
  <c r="F284" i="16" s="1"/>
  <c r="F285" i="16" s="1"/>
  <c r="F286" i="16" s="1"/>
  <c r="E31" i="11"/>
  <c r="J26" i="8"/>
  <c r="G30" i="11"/>
  <c r="J10" i="8"/>
  <c r="P6" i="8"/>
  <c r="P48" i="8" s="1"/>
  <c r="D43" i="10" s="1"/>
  <c r="G36" i="11"/>
  <c r="C38" i="8"/>
  <c r="C53" i="8" s="1"/>
  <c r="D42" i="8"/>
  <c r="D4" i="10" s="1"/>
  <c r="D16" i="8"/>
  <c r="D51" i="8" s="1"/>
  <c r="C52" i="8"/>
  <c r="P16" i="8"/>
  <c r="P30" i="8" s="1"/>
  <c r="D31" i="10" s="1"/>
  <c r="C46" i="8"/>
  <c r="C8" i="10" s="1"/>
  <c r="J43" i="8"/>
  <c r="I13" i="8"/>
  <c r="I45" i="8" s="1"/>
  <c r="J36" i="8"/>
  <c r="D23" i="10" s="1"/>
  <c r="J35" i="8"/>
  <c r="D22" i="10" s="1"/>
  <c r="O41" i="8"/>
  <c r="E33" i="11"/>
  <c r="P40" i="8"/>
  <c r="O43" i="8"/>
  <c r="I46" i="8"/>
  <c r="O44" i="8"/>
  <c r="D49" i="8"/>
  <c r="I37" i="8"/>
  <c r="C24" i="10" s="1"/>
  <c r="P32" i="8"/>
  <c r="D33" i="10" s="1"/>
  <c r="P39" i="8"/>
  <c r="J20" i="8"/>
  <c r="D50" i="8"/>
  <c r="P4" i="8"/>
  <c r="P46" i="8" s="1"/>
  <c r="D41" i="10" s="1"/>
  <c r="C30" i="11"/>
  <c r="E30" i="11"/>
  <c r="L8" i="10"/>
  <c r="S8" i="10" s="1"/>
  <c r="C55" i="10"/>
  <c r="J44" i="8"/>
  <c r="O35" i="8"/>
  <c r="C36" i="10" s="1"/>
  <c r="C57" i="10"/>
  <c r="D5" i="10"/>
  <c r="D44" i="8"/>
  <c r="D6" i="10" s="1"/>
  <c r="L10" i="10"/>
  <c r="S10" i="10" s="1"/>
  <c r="I19" i="8"/>
  <c r="I47" i="8" s="1"/>
  <c r="J4" i="8"/>
  <c r="J50" i="8" s="1"/>
  <c r="D13" i="10" s="1"/>
  <c r="I48" i="8"/>
  <c r="O42" i="8"/>
  <c r="C45" i="8"/>
  <c r="C7" i="10" s="1"/>
  <c r="J14" i="8"/>
  <c r="C54" i="8"/>
  <c r="D54" i="8"/>
  <c r="I25" i="8"/>
  <c r="P31" i="8"/>
  <c r="D32" i="10" s="1"/>
  <c r="P38" i="8" l="1"/>
  <c r="J34" i="8"/>
  <c r="D21" i="10" s="1"/>
  <c r="L4" i="10" s="1"/>
  <c r="S4" i="10" s="1"/>
  <c r="L5" i="10"/>
  <c r="S5" i="10" s="1"/>
  <c r="C52" i="10"/>
  <c r="C54" i="10"/>
  <c r="L7" i="10"/>
  <c r="S7" i="10" s="1"/>
  <c r="L6" i="10"/>
  <c r="S6" i="10" s="1"/>
  <c r="C53" i="10"/>
  <c r="I39" i="8"/>
  <c r="C26" i="10" s="1"/>
  <c r="J42" i="8"/>
  <c r="C51" i="10" l="1"/>
  <c r="L9" i="10"/>
  <c r="S9" i="10" s="1"/>
  <c r="C56" i="10"/>
</calcChain>
</file>

<file path=xl/sharedStrings.xml><?xml version="1.0" encoding="utf-8"?>
<sst xmlns="http://schemas.openxmlformats.org/spreadsheetml/2006/main" count="1249" uniqueCount="292">
  <si>
    <t>Площадь,м2</t>
  </si>
  <si>
    <t>Периметр,
м</t>
  </si>
  <si>
    <t>Коридор</t>
  </si>
  <si>
    <t>Ступень + подступенок, м.п.</t>
  </si>
  <si>
    <t>Лестничная клетка, м2
(выход из подвала)</t>
  </si>
  <si>
    <t>Ступень + подступенок, м.п.
(выход из подвала)</t>
  </si>
  <si>
    <t>типа помещения</t>
  </si>
  <si>
    <t xml:space="preserve">
Тип отделки 
</t>
  </si>
  <si>
    <t>ИТП,ВНС</t>
  </si>
  <si>
    <t>Подвал h=3,4 м</t>
  </si>
  <si>
    <t>стены</t>
  </si>
  <si>
    <t>откосы</t>
  </si>
  <si>
    <t>дверной проем</t>
  </si>
  <si>
    <t>полы</t>
  </si>
  <si>
    <t>сапожок, м.п.</t>
  </si>
  <si>
    <t>Кладовая уборочного инвентаря</t>
  </si>
  <si>
    <t>Узел ввода</t>
  </si>
  <si>
    <t>Электрощитовая</t>
  </si>
  <si>
    <t>потолок</t>
  </si>
  <si>
    <t>Остальные тпомещения (без назначения)</t>
  </si>
  <si>
    <t>Остальные тпомещения (без назначения) БС2</t>
  </si>
  <si>
    <t>сапожок, площадка</t>
  </si>
  <si>
    <t>ступень и подступенок, м.п.</t>
  </si>
  <si>
    <t>ИТОГО отделка цоколь</t>
  </si>
  <si>
    <t>ИТОГО отделка МОП цоколь</t>
  </si>
  <si>
    <t>ЕК3</t>
  </si>
  <si>
    <t>квартиры</t>
  </si>
  <si>
    <t>офисы</t>
  </si>
  <si>
    <t>оконный проем</t>
  </si>
  <si>
    <t>витражи</t>
  </si>
  <si>
    <t>в1</t>
  </si>
  <si>
    <t>в2</t>
  </si>
  <si>
    <t>в3</t>
  </si>
  <si>
    <t>в4</t>
  </si>
  <si>
    <t>в5</t>
  </si>
  <si>
    <t>в6</t>
  </si>
  <si>
    <t>в7</t>
  </si>
  <si>
    <t>в8</t>
  </si>
  <si>
    <t>в9</t>
  </si>
  <si>
    <t>размеры</t>
  </si>
  <si>
    <t>площадь</t>
  </si>
  <si>
    <t>2,56*2,88</t>
  </si>
  <si>
    <t>2,27*3,75</t>
  </si>
  <si>
    <t>2,27*2,88</t>
  </si>
  <si>
    <t>2,67*2,88</t>
  </si>
  <si>
    <t>2,46*2,88</t>
  </si>
  <si>
    <t>2,48*2,88</t>
  </si>
  <si>
    <t>1,2*2,1</t>
  </si>
  <si>
    <t>2,61*2,88</t>
  </si>
  <si>
    <t>2,36*2,88</t>
  </si>
  <si>
    <t>двери</t>
  </si>
  <si>
    <t>1*2,1</t>
  </si>
  <si>
    <t>0,9*2,1</t>
  </si>
  <si>
    <t>1,12*2,1</t>
  </si>
  <si>
    <t>1,2*1,4</t>
  </si>
  <si>
    <t>0,8*1,2</t>
  </si>
  <si>
    <t>окна</t>
  </si>
  <si>
    <t>ок1</t>
  </si>
  <si>
    <t>ок2</t>
  </si>
  <si>
    <t>ок3</t>
  </si>
  <si>
    <t>ок4</t>
  </si>
  <si>
    <t>1,2*1,3</t>
  </si>
  <si>
    <t>1,63*1,8</t>
  </si>
  <si>
    <t>1,37*1,6</t>
  </si>
  <si>
    <t>0,72*1,8+0,75*2,5</t>
  </si>
  <si>
    <t>1 этаж h=3,75 м</t>
  </si>
  <si>
    <t>офисы сан.узлы</t>
  </si>
  <si>
    <t>МОП Табмур</t>
  </si>
  <si>
    <t>МОП Вестибюль</t>
  </si>
  <si>
    <t>МОП Лестнпичная 
клетка</t>
  </si>
  <si>
    <t>Итого отделка МОП 1 эт.</t>
  </si>
  <si>
    <t>ступень и 
подступенок, м.п.</t>
  </si>
  <si>
    <t>Ступень + 
подступенок, м.п.</t>
  </si>
  <si>
    <t>Итого отделка 1 эт.</t>
  </si>
  <si>
    <t>вл1</t>
  </si>
  <si>
    <t>3,68*2,8</t>
  </si>
  <si>
    <t>квартиры су</t>
  </si>
  <si>
    <t>2-7 этаж h=2,7 м</t>
  </si>
  <si>
    <t>шахты</t>
  </si>
  <si>
    <t>стоякки</t>
  </si>
  <si>
    <t>МОП коридор</t>
  </si>
  <si>
    <t>МОП лестничная
клетка</t>
  </si>
  <si>
    <t>Итого отделка МОП тип эт.( 6 шт)</t>
  </si>
  <si>
    <t>Итого отделка тип. эт.(6 шт)</t>
  </si>
  <si>
    <t>Итого отделка 1 эт. Офисы без су</t>
  </si>
  <si>
    <t>Итого отделка тип. эт.(6 шт) кв без су</t>
  </si>
  <si>
    <t>ИТОГО ОТДЕКЛА МОП</t>
  </si>
  <si>
    <t>учтены лестничные площадки</t>
  </si>
  <si>
    <t>м2</t>
  </si>
  <si>
    <t>м.п</t>
  </si>
  <si>
    <t xml:space="preserve">ИТОГО ОТДЕКЛА </t>
  </si>
  <si>
    <t>Екатерининская 3 Бс1+БС2</t>
  </si>
  <si>
    <t>Южный на 4 литера</t>
  </si>
  <si>
    <t>Наименование помещ.</t>
  </si>
  <si>
    <t>Потолок</t>
  </si>
  <si>
    <t>тип отделки</t>
  </si>
  <si>
    <t>Стены</t>
  </si>
  <si>
    <t>затирка</t>
  </si>
  <si>
    <t>цпс штукатурка</t>
  </si>
  <si>
    <t>шпатлевка</t>
  </si>
  <si>
    <t>грунтовка</t>
  </si>
  <si>
    <t>окраска вэ краской в 2 слоя</t>
  </si>
  <si>
    <t>окраска вэ краской</t>
  </si>
  <si>
    <t>плитка на клею 20 мм</t>
  </si>
  <si>
    <t>Подвал, ВНС, ИТП, электрощитовая,узел ввода, кладовая уборочного инвентаря</t>
  </si>
  <si>
    <t>на отм. -3,700</t>
  </si>
  <si>
    <t>облицовка плиткой на высоту 2 м</t>
  </si>
  <si>
    <t>на отм. 0,000</t>
  </si>
  <si>
    <t>Тамбур, Вестибюль,Комната уюорочного инвентаря,Офисы</t>
  </si>
  <si>
    <t>подвесной потолок "Грильято"</t>
  </si>
  <si>
    <t>штукатурка по утеплителю</t>
  </si>
  <si>
    <t>гипсовая штукатурка</t>
  </si>
  <si>
    <t>жилые этажи 2-7 эт.</t>
  </si>
  <si>
    <t>коридор. Помещения квартир. Лестничная клетка</t>
  </si>
  <si>
    <t>краска ВИТ АК-518</t>
  </si>
  <si>
    <t>Грунтовка по отшлифованной поверхности</t>
  </si>
  <si>
    <t>ГПС 440 мм</t>
  </si>
  <si>
    <t>Бетонная подготовка 80 мм</t>
  </si>
  <si>
    <t>армированная фиброволокном стяжка из ЦПС М150 80 мм</t>
  </si>
  <si>
    <t>армированная фиброволокном стяжка из ЦПС М150 60 мм</t>
  </si>
  <si>
    <t>ГПС 390 мм</t>
  </si>
  <si>
    <t>ГПС 90 мм</t>
  </si>
  <si>
    <t>утеплитель пеноплекс 30 мм</t>
  </si>
  <si>
    <t>армированная фиброволокном стяжка из ЦПС М150 50 мм</t>
  </si>
  <si>
    <t>пароизоляция</t>
  </si>
  <si>
    <t>гидроизоляция обмазочная битумная в 2 слоя</t>
  </si>
  <si>
    <t>звукоизоляция изоком ппи-п 5 мм</t>
  </si>
  <si>
    <t>ИТОГО</t>
  </si>
  <si>
    <t>Полы</t>
  </si>
  <si>
    <t>проектом не учтено:</t>
  </si>
  <si>
    <t>№</t>
  </si>
  <si>
    <t>Наименование работ</t>
  </si>
  <si>
    <t>Ед.изм.</t>
  </si>
  <si>
    <t>Кол-во</t>
  </si>
  <si>
    <t>Материал подрядчика</t>
  </si>
  <si>
    <t>Нормы расхода</t>
  </si>
  <si>
    <t xml:space="preserve">ВЕДОМОСТЬ ДОГОВОРНОЙ ЦЕНЫ </t>
  </si>
  <si>
    <t>Материал Заказчика</t>
  </si>
  <si>
    <t>Всего</t>
  </si>
  <si>
    <t>в том числе</t>
  </si>
  <si>
    <t>Примечание</t>
  </si>
  <si>
    <t>Работа</t>
  </si>
  <si>
    <t>Материал</t>
  </si>
  <si>
    <t>Расходный материал</t>
  </si>
  <si>
    <t xml:space="preserve">Расходный и крепежный материал. </t>
  </si>
  <si>
    <t xml:space="preserve">Материал не указанный в спецификации, но необходимый для качественного выполнения работ и СМР неучтенные в ведомости объемов работ (ВОР). </t>
  </si>
  <si>
    <t>Да/Нет</t>
  </si>
  <si>
    <t>Срок действия коммерческого предложения не менее 30 календарных дней</t>
  </si>
  <si>
    <t>Указать в календарных днях</t>
  </si>
  <si>
    <t>Срок выполнения монтажных работ</t>
  </si>
  <si>
    <t>Согласие на подписание типовой формы договора заказчика без протокола разногласий</t>
  </si>
  <si>
    <t>Контактные данные Участника (ФИО, номер телефона, адрес электронной почты):</t>
  </si>
  <si>
    <t>Условия оплаты: 100% постоплата, отсрочка платежа 30 календарных дней</t>
  </si>
  <si>
    <t>Комментарии</t>
  </si>
  <si>
    <t>Тип С-2</t>
  </si>
  <si>
    <t>Грунтовка под окраску Церезит СТ17 (или аналог)</t>
  </si>
  <si>
    <t>Торцы плит перекрытия</t>
  </si>
  <si>
    <t>Изображения на фасаде</t>
  </si>
  <si>
    <t>шт.</t>
  </si>
  <si>
    <t>м3</t>
  </si>
  <si>
    <t>Утеплитель из минераловатных плит Роквул Фасад Баттс Д Оптима (или аналог) - 100 мм</t>
  </si>
  <si>
    <t>кг</t>
  </si>
  <si>
    <t>Нанесение штукатурно-клеевой смеси - 10 мм</t>
  </si>
  <si>
    <t>Устройство декоративно-защитного покрытия  - 5 мм</t>
  </si>
  <si>
    <t>л</t>
  </si>
  <si>
    <t>Ниже отм. 0,000 (цоколь)</t>
  </si>
  <si>
    <t>Тип стены С-5, С6</t>
  </si>
  <si>
    <r>
      <t>Устройство утеплителя из минераловатных плит</t>
    </r>
    <r>
      <rPr>
        <b/>
        <sz val="12"/>
        <color rgb="FF000000"/>
        <rFont val="Calibri"/>
        <family val="2"/>
        <charset val="204"/>
      </rPr>
      <t xml:space="preserve"> - 100 мм</t>
    </r>
  </si>
  <si>
    <t>расход по А2402-АР лист 7.363</t>
  </si>
  <si>
    <t>Тип стены С-7</t>
  </si>
  <si>
    <t>Выравнивание стен цементной смесью в два слоя - 5мм</t>
  </si>
  <si>
    <t>Окраска с предварительным грунтованием стен</t>
  </si>
  <si>
    <t>Щелочестойкая стеклосетка (1 слой)</t>
  </si>
  <si>
    <t>Стеклосетка (2 слоя)</t>
  </si>
  <si>
    <t>Облицовка стен плиткой из керамогранита</t>
  </si>
  <si>
    <t>Нанесение базового штукатурного слоя с двойным армированием стеклосеткой - 10 мм</t>
  </si>
  <si>
    <t>Нанесение базового слоя из штукатурно-клеевой смеси с армированием щелочестойкой стеклосеткой - 10 мм</t>
  </si>
  <si>
    <t>Выше отм. 0,000</t>
  </si>
  <si>
    <t>Тип С-8</t>
  </si>
  <si>
    <t>Тип стены С-9</t>
  </si>
  <si>
    <t>Армированные цементно-минеральные плиты АКВАПАНЕЛЬ Наружная -12,5мм</t>
  </si>
  <si>
    <t>Тип С-10</t>
  </si>
  <si>
    <t>Гидрофобизация бетонных поверхностей раствором</t>
  </si>
  <si>
    <t>Отделка наружных откосов</t>
  </si>
  <si>
    <t>Герметизация стыков (узел 12)</t>
  </si>
  <si>
    <t>Герметизация стыков (узел 11)</t>
  </si>
  <si>
    <t>А2402-АР лист 7.377 узел 11</t>
  </si>
  <si>
    <t>А2402-АР лист 7.377 узел 12</t>
  </si>
  <si>
    <t>Герметизация стыков (узел 13)</t>
  </si>
  <si>
    <t>Монтаж оцинкованного профиля (узел 13)</t>
  </si>
  <si>
    <t>Опорный профиль из оцинкованной стали, толщ.0,7мм (ширина 230мм)</t>
  </si>
  <si>
    <t>Узел 11</t>
  </si>
  <si>
    <t>Узел 12</t>
  </si>
  <si>
    <t>Узел 13 (оконные откосы)</t>
  </si>
  <si>
    <t>Стеклосетка (1 слой)</t>
  </si>
  <si>
    <t>Грунтовка под окраску Церезит СТ16 (или аналог)</t>
  </si>
  <si>
    <t>А2402-АР лист 7.377 узел 13</t>
  </si>
  <si>
    <t>А2402-АР лист 7.472 узел 16</t>
  </si>
  <si>
    <t>Блок А1, А2</t>
  </si>
  <si>
    <t>Блок Б1, Б2</t>
  </si>
  <si>
    <t>Блок В1</t>
  </si>
  <si>
    <t>Блок В2, В3</t>
  </si>
  <si>
    <t>Объемы по спецификации А2402-АР лист 7.270-7.271</t>
  </si>
  <si>
    <t>Объемы по спецификации А2402-АР лист 7.14-7.15</t>
  </si>
  <si>
    <t>Объемы по спецификации А2402-АР лист 7.109-7.110</t>
  </si>
  <si>
    <t>Объемы по спецификации А2402-АР лист 7.203-204</t>
  </si>
  <si>
    <t>А1,А2</t>
  </si>
  <si>
    <t>Б1,Б2</t>
  </si>
  <si>
    <t>В1</t>
  </si>
  <si>
    <t>В2,В3</t>
  </si>
  <si>
    <t>С-9</t>
  </si>
  <si>
    <t>С-10</t>
  </si>
  <si>
    <t>Сумма по блокам</t>
  </si>
  <si>
    <t>А2402-АР лист 7.8</t>
  </si>
  <si>
    <t>Фрагмент 1</t>
  </si>
  <si>
    <t>Фрагмент 3</t>
  </si>
  <si>
    <t>Фрагмент 2</t>
  </si>
  <si>
    <t>Устройство стилизованных изображений с символикой и атрибутикой школы методом граффити фасадными красками Церезит СТ 54 с колером NCS (Natural Color System) (или аналог). Размер 4950х8920</t>
  </si>
  <si>
    <t>Устройство стилизованных изображений с символикой и атрибутикой школы методом граффити фасадными красками Церезит СТ 54 с колером NCS (Natural Color System) (или аналог). Размер 8750х8200</t>
  </si>
  <si>
    <t>Общее на все секции</t>
  </si>
  <si>
    <t>Устройство стилизованных изображений с символикой и атрибутикой школы методом граффити фасадными красками Церезит СТ 54 с колером NCS (Natural Color System) (или аналог). Размер 4570х5100</t>
  </si>
  <si>
    <t>Краска Церезит СТ 54 с колером NCS (Natural Color System) (или аналог)</t>
  </si>
  <si>
    <t>остаток от общей площади</t>
  </si>
  <si>
    <t>лист 7.363</t>
  </si>
  <si>
    <t>Узел 16</t>
  </si>
  <si>
    <t>по проекту</t>
  </si>
  <si>
    <t>Обшивка наружных стен Аквапанелями с каркасом из стальных тонкостенных холодногнутых оцинкованных профилей</t>
  </si>
  <si>
    <t>Аквапанель</t>
  </si>
  <si>
    <t>Спецификация лист 7.15, 7.110, 7.204, 7.270, 7.363</t>
  </si>
  <si>
    <t>А2402-АР ист 7.15, 7.110, 7.204, 7.270, 7.363</t>
  </si>
  <si>
    <t>Дюбель-гвоздь 5х40 (шаг 500мм)</t>
  </si>
  <si>
    <t>м.п.</t>
  </si>
  <si>
    <t>ширина откосов по минвате с учетом клея и штукатурки - 120мм</t>
  </si>
  <si>
    <t>на наружные отделочные работы</t>
  </si>
  <si>
    <t>Смесь Церезит СТ85 (или аналог) - 10 мм</t>
  </si>
  <si>
    <t>Грунтовка ФОРБО 050 (или аналог)</t>
  </si>
  <si>
    <t>Клей плиточный ФОРБО Eurocol 756 EUROBOND (или аналог) - 7мм</t>
  </si>
  <si>
    <t>Затирка швов Церезит СЕ40 AQUASTATIC (или аналог) (цвет темно-серый в цвет плитки)</t>
  </si>
  <si>
    <t>Плитка керамогранитная VITRA (или аналог) 400х600 (цвет темно-серый) ректификат, класс износостойкости не менее 4, класс стойкости к образованию пятен не менее 4, толщиной не менее 8мм</t>
  </si>
  <si>
    <t>Смесь Церезит СТ180 (или аналог)  - 10 мм</t>
  </si>
  <si>
    <t>Смесь Церезит СТ190 (или аналог) армированная щелочестойкой стеклосеткой - 10 мм</t>
  </si>
  <si>
    <t>Смесь Церезит СТ190 (или аналог) - 10 мм</t>
  </si>
  <si>
    <t>Смесь Церезит СТ190 (или аналог) армированная стеклосеткой - 10 мм</t>
  </si>
  <si>
    <t>Декоративная штукатурка Церезит СТ137 (зерно 1 мм) (или аналог) - 5 мм</t>
  </si>
  <si>
    <t>Грунтовка под окраску Церезит СТ16 (или аналог) (или аналог)</t>
  </si>
  <si>
    <t>Краска силикатная Церезит СТ 54 с колером NCS (Natural Color System) (2 слоя) (или аналог)</t>
  </si>
  <si>
    <t>Цементная шпаклевка Церезит СТ225 (или аналог) - 5мм</t>
  </si>
  <si>
    <t>Гидрофобизатор глубокого проникновения LITSIL S02 (или аналог)</t>
  </si>
  <si>
    <t>Полиуретановый герметик Церезит CS 29 (или аналог)</t>
  </si>
  <si>
    <t>Шнур Вилатерм 15 (или аналог)</t>
  </si>
  <si>
    <t>Крепежный кронштейн усиленный с шайбой и изоляционной прокладкой КК-230, с шагом 600мм, МеталлПрофиль (или аналог)</t>
  </si>
  <si>
    <t xml:space="preserve">Удлиннитель кронштейна УК-150, МеталлПрофиль (или аналог) </t>
  </si>
  <si>
    <t>Крепежный профиль  Г-образный 60х44х4600, МеталлПрофиль (или аналог)</t>
  </si>
  <si>
    <t>Профиль шляпный КПШ-50х20х1,5 ТУ 5285-002-37144780-2012</t>
  </si>
  <si>
    <t>Грунтование стен</t>
  </si>
  <si>
    <t>Окраска по предварительно огрунтованной поверхности стен</t>
  </si>
  <si>
    <t>Отделка стен армированными цементно-минеральными плитами - 12,5 мм</t>
  </si>
  <si>
    <t>Тип стены С-7  (колонны)</t>
  </si>
  <si>
    <t>Выравнивание стен цементной смесью в два слоя - 5мм (толщина слоя не более 2,5 мм)</t>
  </si>
  <si>
    <t>Тип С-8 (торец плиты перекрытия)</t>
  </si>
  <si>
    <t>Тип стены С-9 (зашивка колонн)</t>
  </si>
  <si>
    <t>Тип С-10 (зашивка колонн)</t>
  </si>
  <si>
    <t>остаток периметр торцов</t>
  </si>
  <si>
    <t>Срок поставки в календарных днях</t>
  </si>
  <si>
    <t>Гарантия на оборудование/материалы/работы/услуги</t>
  </si>
  <si>
    <t>на материалы/работы/услуги указать в месяцах (60 месяцев) 
на оборудования в соответствии с гарантией завода изготовителя</t>
  </si>
  <si>
    <t>1. Все материалы возможно заменить аналогами с соблюдение технических характериатик</t>
  </si>
  <si>
    <t>2. На фасадах выполнить стилизованные изображения с символикой и атрибутикой школы фасадными красками Церезит СТ54 с коллером NCS и аэрозольными красками Arton с использованием кинопроектора для переноса макета изображения на поверхность фасада для точного соблюдения рисунка.</t>
  </si>
  <si>
    <t>на объекте: "Проектирование и строительство общеобразовательной организации на 1550 мест на земельном участке с кадастровым номером 23:43:0118001:18468 в Прикубанском внутригородском округе г. Краснодара"</t>
  </si>
  <si>
    <r>
      <t xml:space="preserve">Цена за ед. изм., руб., </t>
    </r>
    <r>
      <rPr>
        <b/>
        <i/>
        <sz val="12"/>
        <color rgb="FF000000"/>
        <rFont val="Times New Roman"/>
        <family val="1"/>
        <charset val="204"/>
      </rPr>
      <t>без учета НДС</t>
    </r>
  </si>
  <si>
    <r>
      <t xml:space="preserve">Стоимость, руб., </t>
    </r>
    <r>
      <rPr>
        <b/>
        <i/>
        <sz val="12"/>
        <color rgb="FF000000"/>
        <rFont val="Times New Roman"/>
        <family val="1"/>
        <charset val="204"/>
      </rPr>
      <t>без учета НДС</t>
    </r>
  </si>
  <si>
    <t>48</t>
  </si>
  <si>
    <t>56</t>
  </si>
  <si>
    <t>112</t>
  </si>
  <si>
    <t>157</t>
  </si>
  <si>
    <t>165</t>
  </si>
  <si>
    <t>191</t>
  </si>
  <si>
    <t>210</t>
  </si>
  <si>
    <t>213</t>
  </si>
  <si>
    <t>215</t>
  </si>
  <si>
    <r>
      <t xml:space="preserve">ИТОГО, руб., </t>
    </r>
    <r>
      <rPr>
        <i/>
        <sz val="12"/>
        <rFont val="Times New Roman"/>
        <family val="1"/>
        <charset val="204"/>
      </rPr>
      <t>без учета НДС</t>
    </r>
  </si>
  <si>
    <r>
      <t xml:space="preserve">ВСЕГО, руб., </t>
    </r>
    <r>
      <rPr>
        <i/>
        <sz val="12"/>
        <rFont val="Times New Roman"/>
        <family val="1"/>
        <charset val="204"/>
      </rPr>
      <t>без учета НДС</t>
    </r>
  </si>
  <si>
    <r>
      <t xml:space="preserve">Итого, руб., </t>
    </r>
    <r>
      <rPr>
        <b/>
        <i/>
        <sz val="14"/>
        <color rgb="FF000000"/>
        <rFont val="Times New Roman"/>
        <family val="1"/>
        <charset val="204"/>
      </rPr>
      <t>с учетом НДС</t>
    </r>
  </si>
  <si>
    <t>Форма ответа Подрядчика/Поставщика</t>
  </si>
  <si>
    <t>Обязательная поля для заполнения участников</t>
  </si>
  <si>
    <t>НДС, 22%</t>
  </si>
  <si>
    <r>
      <t xml:space="preserve">Начало работ на объекте: </t>
    </r>
    <r>
      <rPr>
        <b/>
        <sz val="12"/>
        <rFont val="Times New Roman"/>
        <family val="1"/>
        <charset val="204"/>
      </rPr>
      <t>10.08.2026</t>
    </r>
  </si>
  <si>
    <t>Наличие СРО</t>
  </si>
  <si>
    <t>Количество специалистов привлекаемых для выполенения работ</t>
  </si>
  <si>
    <t>Указать в текстовом виде</t>
  </si>
  <si>
    <t>Указать кол-во</t>
  </si>
  <si>
    <r>
      <t xml:space="preserve">Окончание работ на объекте: </t>
    </r>
    <r>
      <rPr>
        <b/>
        <sz val="12"/>
        <rFont val="Times New Roman"/>
        <family val="1"/>
        <charset val="204"/>
      </rPr>
      <t>30.12.2026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</si>
</sst>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_-* #,##0.00_р_._-;\-* #,##0.00_р_._-;_-* &quot;-&quot;??_р_._-;_-@_-"/>
  </numFmts>
  <fonts count="5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9"/>
      <name val="Arial Cyr"/>
      <charset val="204"/>
    </font>
    <font>
      <sz val="11"/>
      <color theme="1"/>
      <name val="Times New Roman"/>
      <family val="2"/>
      <charset val="204"/>
    </font>
    <font>
      <sz val="10"/>
      <color rgb="FF000000"/>
      <name val="Arial Cyr"/>
      <charset val="204"/>
    </font>
    <font>
      <sz val="11"/>
      <color indexed="8"/>
      <name val="Calibri"/>
      <family val="2"/>
      <charset val="204"/>
    </font>
    <font>
      <b/>
      <sz val="11"/>
      <color rgb="FF3F3F3F"/>
      <name val="Calibri"/>
      <family val="2"/>
      <charset val="204"/>
    </font>
    <font>
      <sz val="11"/>
      <color rgb="FF9C6500"/>
      <name val="Calibri"/>
      <family val="2"/>
      <charset val="204"/>
    </font>
    <font>
      <sz val="11"/>
      <color rgb="FF9C0006"/>
      <name val="Calibri"/>
      <family val="2"/>
      <charset val="204"/>
    </font>
    <font>
      <sz val="11"/>
      <color rgb="FF006100"/>
      <name val="Calibri"/>
      <family val="2"/>
      <charset val="204"/>
    </font>
    <font>
      <sz val="9"/>
      <name val="Times New Roman"/>
      <family val="1"/>
      <charset val="204"/>
    </font>
    <font>
      <b/>
      <sz val="12"/>
      <color rgb="FF000000"/>
      <name val="Calibri"/>
      <family val="2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i/>
      <sz val="9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2F2F2"/>
        <bgColor rgb="FFE7E6E6"/>
      </patternFill>
    </fill>
    <fill>
      <patternFill patternType="solid">
        <fgColor rgb="FFFFEB9C"/>
        <bgColor rgb="FFFFFFD7"/>
      </patternFill>
    </fill>
    <fill>
      <patternFill patternType="solid">
        <fgColor rgb="FFFFC7CE"/>
        <bgColor rgb="FFD9D9D9"/>
      </patternFill>
    </fill>
    <fill>
      <patternFill patternType="solid">
        <fgColor rgb="FFC6EFCE"/>
        <bgColor rgb="FFD9D9D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rgb="FFF2F2F2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6" fillId="0" borderId="0"/>
    <xf numFmtId="0" fontId="5" fillId="0" borderId="0"/>
    <xf numFmtId="0" fontId="12" fillId="0" borderId="0"/>
    <xf numFmtId="0" fontId="13" fillId="0" borderId="0"/>
    <xf numFmtId="0" fontId="14" fillId="0" borderId="0"/>
    <xf numFmtId="0" fontId="12" fillId="0" borderId="0"/>
    <xf numFmtId="0" fontId="14" fillId="0" borderId="0"/>
    <xf numFmtId="0" fontId="26" fillId="0" borderId="0"/>
    <xf numFmtId="0" fontId="6" fillId="0" borderId="0" applyProtection="0"/>
    <xf numFmtId="0" fontId="21" fillId="0" borderId="1">
      <alignment horizontal="center"/>
    </xf>
    <xf numFmtId="0" fontId="6" fillId="0" borderId="0">
      <alignment vertical="top"/>
    </xf>
    <xf numFmtId="0" fontId="21" fillId="0" borderId="1">
      <alignment horizontal="center"/>
    </xf>
    <xf numFmtId="0" fontId="21" fillId="0" borderId="0">
      <alignment vertical="top"/>
    </xf>
    <xf numFmtId="0" fontId="21" fillId="0" borderId="0">
      <alignment horizontal="right" vertical="top" wrapText="1"/>
    </xf>
    <xf numFmtId="0" fontId="21" fillId="0" borderId="0"/>
    <xf numFmtId="0" fontId="21" fillId="0" borderId="0"/>
    <xf numFmtId="0" fontId="21" fillId="0" borderId="0"/>
    <xf numFmtId="2" fontId="27" fillId="0" borderId="0">
      <alignment horizontal="right" vertical="top"/>
    </xf>
    <xf numFmtId="0" fontId="21" fillId="0" borderId="0"/>
    <xf numFmtId="0" fontId="21" fillId="0" borderId="1" applyFill="0" applyProtection="0">
      <alignment horizontal="center"/>
    </xf>
    <xf numFmtId="0" fontId="21" fillId="0" borderId="1" applyFill="0" applyProtection="0">
      <alignment horizontal="center"/>
    </xf>
    <xf numFmtId="0" fontId="6" fillId="0" borderId="0">
      <alignment vertical="top"/>
    </xf>
    <xf numFmtId="0" fontId="21" fillId="0" borderId="0"/>
    <xf numFmtId="0" fontId="21" fillId="0" borderId="1">
      <alignment horizontal="center" wrapText="1"/>
    </xf>
    <xf numFmtId="0" fontId="21" fillId="0" borderId="1">
      <alignment horizontal="center"/>
    </xf>
    <xf numFmtId="0" fontId="21" fillId="0" borderId="1">
      <alignment horizontal="center" wrapText="1"/>
    </xf>
    <xf numFmtId="0" fontId="21" fillId="0" borderId="1">
      <alignment horizontal="center"/>
    </xf>
    <xf numFmtId="0" fontId="21" fillId="0" borderId="0">
      <alignment horizontal="left" vertical="top"/>
    </xf>
    <xf numFmtId="0" fontId="21" fillId="0" borderId="0"/>
    <xf numFmtId="0" fontId="6" fillId="0" borderId="0"/>
    <xf numFmtId="0" fontId="28" fillId="0" borderId="0"/>
    <xf numFmtId="0" fontId="29" fillId="0" borderId="0"/>
    <xf numFmtId="164" fontId="6" fillId="0" borderId="0" applyFont="0" applyFill="0" applyBorder="0" applyAlignment="0" applyProtection="0"/>
    <xf numFmtId="0" fontId="30" fillId="0" borderId="0"/>
    <xf numFmtId="0" fontId="13" fillId="0" borderId="0"/>
    <xf numFmtId="0" fontId="31" fillId="0" borderId="0"/>
    <xf numFmtId="0" fontId="5" fillId="0" borderId="0"/>
    <xf numFmtId="165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6" fillId="0" borderId="0"/>
    <xf numFmtId="0" fontId="12" fillId="0" borderId="0"/>
    <xf numFmtId="0" fontId="6" fillId="0" borderId="0"/>
    <xf numFmtId="0" fontId="14" fillId="0" borderId="0"/>
    <xf numFmtId="0" fontId="14" fillId="0" borderId="0"/>
    <xf numFmtId="0" fontId="32" fillId="7" borderId="14" applyProtection="0"/>
    <xf numFmtId="0" fontId="33" fillId="8" borderId="0" applyBorder="0" applyProtection="0"/>
    <xf numFmtId="0" fontId="34" fillId="9" borderId="0" applyBorder="0" applyProtection="0"/>
    <xf numFmtId="0" fontId="35" fillId="10" borderId="0" applyBorder="0" applyProtection="0"/>
    <xf numFmtId="0" fontId="26" fillId="0" borderId="0"/>
  </cellStyleXfs>
  <cellXfs count="2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0" fillId="0" borderId="1" xfId="0" applyBorder="1"/>
    <xf numFmtId="0" fontId="3" fillId="4" borderId="1" xfId="0" applyFont="1" applyFill="1" applyBorder="1"/>
    <xf numFmtId="49" fontId="2" fillId="4" borderId="1" xfId="0" applyNumberFormat="1" applyFont="1" applyFill="1" applyBorder="1" applyAlignment="1">
      <alignment horizontal="left" vertical="center" wrapText="1"/>
    </xf>
    <xf numFmtId="0" fontId="0" fillId="0" borderId="3" xfId="0" applyBorder="1"/>
    <xf numFmtId="0" fontId="0" fillId="0" borderId="1" xfId="0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5" borderId="1" xfId="0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left"/>
    </xf>
    <xf numFmtId="0" fontId="3" fillId="4" borderId="1" xfId="0" applyFont="1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3" borderId="4" xfId="0" applyFill="1" applyBorder="1"/>
    <xf numFmtId="0" fontId="0" fillId="3" borderId="5" xfId="0" applyFill="1" applyBorder="1"/>
    <xf numFmtId="0" fontId="0" fillId="0" borderId="2" xfId="0" applyBorder="1"/>
    <xf numFmtId="0" fontId="0" fillId="6" borderId="3" xfId="0" applyFill="1" applyBorder="1"/>
    <xf numFmtId="0" fontId="0" fillId="6" borderId="1" xfId="0" applyFill="1" applyBorder="1"/>
    <xf numFmtId="0" fontId="0" fillId="6" borderId="1" xfId="0" applyFill="1" applyBorder="1" applyAlignment="1">
      <alignment wrapText="1"/>
    </xf>
    <xf numFmtId="0" fontId="3" fillId="6" borderId="1" xfId="0" applyFont="1" applyFill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6" borderId="9" xfId="0" applyFont="1" applyFill="1" applyBorder="1"/>
    <xf numFmtId="0" fontId="3" fillId="6" borderId="10" xfId="0" applyFont="1" applyFill="1" applyBorder="1"/>
    <xf numFmtId="0" fontId="3" fillId="6" borderId="11" xfId="0" applyFont="1" applyFill="1" applyBorder="1"/>
    <xf numFmtId="0" fontId="3" fillId="6" borderId="12" xfId="0" applyFont="1" applyFill="1" applyBorder="1" applyAlignment="1">
      <alignment wrapText="1"/>
    </xf>
    <xf numFmtId="0" fontId="3" fillId="6" borderId="13" xfId="0" applyFont="1" applyFill="1" applyBorder="1"/>
    <xf numFmtId="4" fontId="3" fillId="6" borderId="1" xfId="0" applyNumberFormat="1" applyFont="1" applyFill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wrapText="1"/>
    </xf>
    <xf numFmtId="0" fontId="0" fillId="5" borderId="1" xfId="0" applyFill="1" applyBorder="1" applyAlignment="1">
      <alignment wrapText="1"/>
    </xf>
    <xf numFmtId="0" fontId="0" fillId="5" borderId="1" xfId="0" applyFill="1" applyBorder="1"/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wrapText="1"/>
    </xf>
    <xf numFmtId="0" fontId="0" fillId="3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6" borderId="0" xfId="0" applyFill="1" applyAlignment="1">
      <alignment wrapText="1"/>
    </xf>
    <xf numFmtId="0" fontId="1" fillId="0" borderId="0" xfId="0" applyFont="1" applyFill="1" applyAlignment="1">
      <alignment vertical="top"/>
    </xf>
    <xf numFmtId="4" fontId="15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4" fontId="9" fillId="0" borderId="1" xfId="0" applyNumberFormat="1" applyFont="1" applyFill="1" applyBorder="1" applyAlignment="1">
      <alignment horizontal="center" vertical="center"/>
    </xf>
    <xf numFmtId="0" fontId="18" fillId="0" borderId="0" xfId="0" applyFont="1" applyFill="1"/>
    <xf numFmtId="0" fontId="15" fillId="0" borderId="0" xfId="0" applyFont="1" applyFill="1"/>
    <xf numFmtId="0" fontId="3" fillId="0" borderId="0" xfId="0" applyFont="1" applyFill="1"/>
    <xf numFmtId="0" fontId="19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8" fillId="0" borderId="0" xfId="0" applyFont="1" applyFill="1"/>
    <xf numFmtId="0" fontId="18" fillId="0" borderId="0" xfId="0" applyFont="1" applyFill="1" applyAlignment="1">
      <alignment wrapText="1"/>
    </xf>
    <xf numFmtId="0" fontId="7" fillId="0" borderId="0" xfId="0" applyFont="1" applyFill="1"/>
    <xf numFmtId="0" fontId="7" fillId="0" borderId="0" xfId="0" applyFont="1" applyFill="1" applyAlignment="1"/>
    <xf numFmtId="0" fontId="0" fillId="0" borderId="0" xfId="0" applyFont="1" applyFill="1"/>
    <xf numFmtId="0" fontId="16" fillId="0" borderId="0" xfId="0" applyFont="1" applyFill="1" applyAlignment="1">
      <alignment vertical="top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4" fontId="15" fillId="0" borderId="0" xfId="0" applyNumberFormat="1" applyFont="1" applyFill="1" applyAlignment="1">
      <alignment horizontal="center" vertical="center"/>
    </xf>
    <xf numFmtId="0" fontId="9" fillId="0" borderId="0" xfId="0" applyFont="1" applyFill="1"/>
    <xf numFmtId="4" fontId="10" fillId="0" borderId="0" xfId="0" applyNumberFormat="1" applyFont="1" applyFill="1"/>
    <xf numFmtId="0" fontId="10" fillId="0" borderId="0" xfId="0" applyFont="1" applyFill="1"/>
    <xf numFmtId="0" fontId="25" fillId="0" borderId="1" xfId="0" applyFont="1" applyFill="1" applyBorder="1" applyAlignment="1">
      <alignment horizontal="left" vertical="center" wrapText="1"/>
    </xf>
    <xf numFmtId="4" fontId="40" fillId="0" borderId="0" xfId="0" applyNumberFormat="1" applyFont="1" applyFill="1"/>
    <xf numFmtId="0" fontId="40" fillId="0" borderId="0" xfId="0" applyFont="1" applyFill="1"/>
    <xf numFmtId="2" fontId="40" fillId="0" borderId="0" xfId="0" applyNumberFormat="1" applyFont="1" applyFill="1"/>
    <xf numFmtId="0" fontId="41" fillId="0" borderId="0" xfId="0" applyFont="1" applyFill="1"/>
    <xf numFmtId="0" fontId="42" fillId="0" borderId="0" xfId="0" applyFont="1" applyFill="1"/>
    <xf numFmtId="0" fontId="21" fillId="0" borderId="0" xfId="0" applyFont="1" applyFill="1" applyAlignment="1">
      <alignment horizontal="left" vertical="top"/>
    </xf>
    <xf numFmtId="0" fontId="21" fillId="0" borderId="0" xfId="0" applyFont="1" applyFill="1" applyAlignment="1">
      <alignment vertical="top"/>
    </xf>
    <xf numFmtId="0" fontId="21" fillId="0" borderId="0" xfId="0" applyFont="1" applyFill="1" applyAlignment="1">
      <alignment vertical="top" wrapText="1"/>
    </xf>
    <xf numFmtId="49" fontId="24" fillId="0" borderId="0" xfId="7" applyNumberFormat="1" applyFont="1" applyFill="1" applyBorder="1" applyAlignment="1">
      <alignment vertical="center"/>
    </xf>
    <xf numFmtId="49" fontId="36" fillId="0" borderId="0" xfId="8" applyNumberFormat="1" applyFont="1" applyFill="1" applyAlignment="1">
      <alignment horizontal="center" vertical="center"/>
    </xf>
    <xf numFmtId="0" fontId="21" fillId="0" borderId="0" xfId="8" applyFont="1" applyFill="1"/>
    <xf numFmtId="0" fontId="9" fillId="0" borderId="0" xfId="0" applyFont="1" applyFill="1" applyAlignment="1">
      <alignment horizontal="left" vertical="top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vertical="top" wrapText="1"/>
    </xf>
    <xf numFmtId="0" fontId="25" fillId="0" borderId="1" xfId="6" applyFont="1" applyFill="1" applyBorder="1" applyAlignment="1">
      <alignment vertical="center" wrapText="1"/>
    </xf>
    <xf numFmtId="0" fontId="25" fillId="0" borderId="1" xfId="6" applyFont="1" applyFill="1" applyBorder="1" applyAlignment="1">
      <alignment horizontal="center" vertical="center" wrapText="1"/>
    </xf>
    <xf numFmtId="0" fontId="8" fillId="0" borderId="0" xfId="0" applyFont="1" applyFill="1"/>
    <xf numFmtId="0" fontId="10" fillId="11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4" fontId="18" fillId="12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left" vertical="center" wrapText="1"/>
    </xf>
    <xf numFmtId="0" fontId="10" fillId="11" borderId="1" xfId="0" applyFont="1" applyFill="1" applyBorder="1" applyAlignment="1">
      <alignment horizontal="left" vertical="center" wrapText="1"/>
    </xf>
    <xf numFmtId="4" fontId="10" fillId="11" borderId="1" xfId="0" applyNumberFormat="1" applyFont="1" applyFill="1" applyBorder="1" applyAlignment="1">
      <alignment horizontal="center" vertical="center"/>
    </xf>
    <xf numFmtId="4" fontId="18" fillId="11" borderId="1" xfId="0" applyNumberFormat="1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/>
    </xf>
    <xf numFmtId="4" fontId="10" fillId="5" borderId="1" xfId="0" applyNumberFormat="1" applyFont="1" applyFill="1" applyBorder="1" applyAlignment="1">
      <alignment horizontal="center" vertical="center"/>
    </xf>
    <xf numFmtId="4" fontId="10" fillId="12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Alignment="1">
      <alignment wrapText="1"/>
    </xf>
    <xf numFmtId="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4" fontId="25" fillId="0" borderId="1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8" fillId="0" borderId="0" xfId="0" applyFont="1"/>
    <xf numFmtId="0" fontId="9" fillId="13" borderId="0" xfId="0" applyFont="1" applyFill="1"/>
    <xf numFmtId="0" fontId="9" fillId="13" borderId="0" xfId="0" applyFont="1" applyFill="1" applyAlignment="1">
      <alignment horizontal="center" vertical="center"/>
    </xf>
    <xf numFmtId="0" fontId="50" fillId="13" borderId="0" xfId="0" applyFont="1" applyFill="1" applyAlignment="1">
      <alignment vertical="center"/>
    </xf>
    <xf numFmtId="2" fontId="21" fillId="0" borderId="0" xfId="8" applyNumberFormat="1" applyFont="1" applyFill="1" applyBorder="1" applyAlignment="1">
      <alignment horizontal="right" vertical="center"/>
    </xf>
    <xf numFmtId="4" fontId="18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4" fillId="0" borderId="0" xfId="2" applyFont="1" applyFill="1" applyAlignment="1">
      <alignment horizontal="center" vertical="center" wrapText="1"/>
    </xf>
    <xf numFmtId="4" fontId="9" fillId="0" borderId="1" xfId="7" applyNumberFormat="1" applyFont="1" applyFill="1" applyBorder="1" applyAlignment="1">
      <alignment horizontal="center" vertical="center"/>
    </xf>
    <xf numFmtId="4" fontId="25" fillId="0" borderId="1" xfId="0" quotePrefix="1" applyNumberFormat="1" applyFont="1" applyBorder="1" applyAlignment="1">
      <alignment horizontal="center" vertical="center"/>
    </xf>
    <xf numFmtId="0" fontId="25" fillId="0" borderId="10" xfId="0" quotePrefix="1" applyFont="1" applyBorder="1" applyAlignment="1">
      <alignment horizontal="center" vertical="center"/>
    </xf>
    <xf numFmtId="4" fontId="48" fillId="0" borderId="12" xfId="0" quotePrefix="1" applyNumberFormat="1" applyFont="1" applyBorder="1" applyAlignment="1">
      <alignment horizontal="center" vertical="center"/>
    </xf>
    <xf numFmtId="4" fontId="49" fillId="0" borderId="12" xfId="0" quotePrefix="1" applyNumberFormat="1" applyFont="1" applyBorder="1" applyAlignment="1">
      <alignment horizontal="center" vertical="center"/>
    </xf>
    <xf numFmtId="0" fontId="47" fillId="0" borderId="13" xfId="0" quotePrefix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" fontId="23" fillId="0" borderId="0" xfId="0" applyNumberFormat="1" applyFont="1" applyFill="1" applyBorder="1" applyAlignment="1">
      <alignment horizontal="center" vertical="center" wrapText="1"/>
    </xf>
    <xf numFmtId="0" fontId="20" fillId="0" borderId="0" xfId="0" quotePrefix="1" applyFont="1" applyFill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22" fillId="4" borderId="1" xfId="0" applyFont="1" applyFill="1" applyBorder="1" applyAlignment="1">
      <alignment horizontal="center" vertical="center" wrapText="1"/>
    </xf>
    <xf numFmtId="0" fontId="25" fillId="0" borderId="0" xfId="2" applyFont="1" applyFill="1" applyAlignment="1">
      <alignment horizontal="center" vertical="center" wrapText="1"/>
    </xf>
    <xf numFmtId="4" fontId="25" fillId="0" borderId="1" xfId="0" applyNumberFormat="1" applyFont="1" applyFill="1" applyBorder="1" applyAlignment="1">
      <alignment horizontal="center" vertical="center"/>
    </xf>
    <xf numFmtId="4" fontId="25" fillId="4" borderId="1" xfId="0" applyNumberFormat="1" applyFont="1" applyFill="1" applyBorder="1" applyAlignment="1">
      <alignment horizontal="center" vertical="center"/>
    </xf>
    <xf numFmtId="4" fontId="25" fillId="5" borderId="1" xfId="0" applyNumberFormat="1" applyFont="1" applyFill="1" applyBorder="1" applyAlignment="1">
      <alignment horizontal="center" vertical="center"/>
    </xf>
    <xf numFmtId="4" fontId="25" fillId="12" borderId="1" xfId="0" applyNumberFormat="1" applyFont="1" applyFill="1" applyBorder="1" applyAlignment="1">
      <alignment horizontal="center" vertical="center"/>
    </xf>
    <xf numFmtId="4" fontId="19" fillId="11" borderId="1" xfId="0" applyNumberFormat="1" applyFont="1" applyFill="1" applyBorder="1" applyAlignment="1">
      <alignment horizontal="center" vertical="center"/>
    </xf>
    <xf numFmtId="4" fontId="19" fillId="0" borderId="1" xfId="0" applyNumberFormat="1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4" fontId="19" fillId="12" borderId="1" xfId="0" applyNumberFormat="1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4" fontId="53" fillId="0" borderId="0" xfId="0" quotePrefix="1" applyNumberFormat="1" applyFont="1" applyFill="1" applyAlignment="1">
      <alignment horizontal="center" vertical="center"/>
    </xf>
    <xf numFmtId="0" fontId="9" fillId="0" borderId="0" xfId="2" applyFont="1" applyFill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/>
    </xf>
    <xf numFmtId="4" fontId="9" fillId="5" borderId="1" xfId="0" applyNumberFormat="1" applyFont="1" applyFill="1" applyBorder="1" applyAlignment="1">
      <alignment horizontal="center" vertical="center"/>
    </xf>
    <xf numFmtId="4" fontId="9" fillId="12" borderId="1" xfId="0" applyNumberFormat="1" applyFont="1" applyFill="1" applyBorder="1" applyAlignment="1">
      <alignment horizontal="center" vertical="center"/>
    </xf>
    <xf numFmtId="4" fontId="15" fillId="11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" fontId="15" fillId="12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4" fontId="21" fillId="0" borderId="0" xfId="0" quotePrefix="1" applyNumberFormat="1" applyFont="1" applyFill="1" applyAlignment="1">
      <alignment horizontal="center" vertical="center"/>
    </xf>
    <xf numFmtId="0" fontId="10" fillId="0" borderId="0" xfId="2" applyFont="1" applyFill="1" applyAlignment="1">
      <alignment horizontal="center" vertical="center" wrapText="1"/>
    </xf>
    <xf numFmtId="0" fontId="23" fillId="0" borderId="0" xfId="8" applyFont="1" applyFill="1" applyBorder="1" applyAlignment="1">
      <alignment horizontal="center" vertical="center" wrapText="1"/>
    </xf>
    <xf numFmtId="4" fontId="18" fillId="0" borderId="0" xfId="0" applyNumberFormat="1" applyFont="1" applyFill="1" applyAlignment="1">
      <alignment horizontal="center" vertical="center"/>
    </xf>
    <xf numFmtId="4" fontId="25" fillId="0" borderId="1" xfId="7" applyNumberFormat="1" applyFont="1" applyFill="1" applyBorder="1" applyAlignment="1">
      <alignment horizontal="center" vertical="center"/>
    </xf>
    <xf numFmtId="0" fontId="54" fillId="0" borderId="0" xfId="8" applyFont="1" applyFill="1" applyBorder="1" applyAlignment="1">
      <alignment horizontal="center" vertical="center" wrapText="1"/>
    </xf>
    <xf numFmtId="4" fontId="19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9" fillId="4" borderId="16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21" fillId="0" borderId="0" xfId="0" quotePrefix="1" applyFont="1" applyFill="1" applyAlignment="1">
      <alignment horizontal="center" vertical="center"/>
    </xf>
    <xf numFmtId="0" fontId="53" fillId="0" borderId="0" xfId="0" quotePrefix="1" applyFont="1" applyFill="1" applyAlignment="1">
      <alignment horizontal="center" vertical="center"/>
    </xf>
    <xf numFmtId="2" fontId="21" fillId="0" borderId="0" xfId="8" applyNumberFormat="1" applyFont="1" applyFill="1" applyBorder="1" applyAlignment="1">
      <alignment horizontal="center" vertical="center"/>
    </xf>
    <xf numFmtId="2" fontId="53" fillId="0" borderId="0" xfId="8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4" fontId="10" fillId="4" borderId="10" xfId="0" applyNumberFormat="1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4" fontId="10" fillId="5" borderId="10" xfId="0" applyNumberFormat="1" applyFont="1" applyFill="1" applyBorder="1" applyAlignment="1">
      <alignment horizontal="center" vertical="center"/>
    </xf>
    <xf numFmtId="1" fontId="10" fillId="12" borderId="9" xfId="0" applyNumberFormat="1" applyFont="1" applyFill="1" applyBorder="1" applyAlignment="1">
      <alignment horizontal="center" vertical="center"/>
    </xf>
    <xf numFmtId="4" fontId="10" fillId="12" borderId="10" xfId="0" applyNumberFormat="1" applyFont="1" applyFill="1" applyBorder="1" applyAlignment="1">
      <alignment horizontal="center" vertical="center"/>
    </xf>
    <xf numFmtId="49" fontId="10" fillId="11" borderId="9" xfId="0" applyNumberFormat="1" applyFont="1" applyFill="1" applyBorder="1" applyAlignment="1">
      <alignment horizontal="center" vertical="center"/>
    </xf>
    <xf numFmtId="4" fontId="10" fillId="11" borderId="10" xfId="0" applyNumberFormat="1" applyFont="1" applyFill="1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4" fontId="9" fillId="0" borderId="10" xfId="0" applyNumberFormat="1" applyFont="1" applyFill="1" applyBorder="1" applyAlignment="1">
      <alignment horizontal="center" vertical="center"/>
    </xf>
    <xf numFmtId="1" fontId="10" fillId="11" borderId="9" xfId="0" applyNumberFormat="1" applyFont="1" applyFill="1" applyBorder="1" applyAlignment="1">
      <alignment horizontal="center" vertical="center"/>
    </xf>
    <xf numFmtId="4" fontId="39" fillId="0" borderId="10" xfId="0" applyNumberFormat="1" applyFont="1" applyFill="1" applyBorder="1" applyAlignment="1">
      <alignment horizontal="center" vertical="center"/>
    </xf>
    <xf numFmtId="1" fontId="9" fillId="0" borderId="9" xfId="0" applyNumberFormat="1" applyFont="1" applyFill="1" applyBorder="1" applyAlignment="1">
      <alignment horizontal="center" vertical="center"/>
    </xf>
    <xf numFmtId="1" fontId="10" fillId="5" borderId="9" xfId="0" applyNumberFormat="1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38" fillId="12" borderId="10" xfId="0" applyFont="1" applyFill="1" applyBorder="1" applyAlignment="1">
      <alignment horizontal="center" vertical="center"/>
    </xf>
    <xf numFmtId="4" fontId="7" fillId="12" borderId="10" xfId="0" applyNumberFormat="1" applyFont="1" applyFill="1" applyBorder="1" applyAlignment="1">
      <alignment horizontal="center" vertical="center"/>
    </xf>
    <xf numFmtId="1" fontId="10" fillId="4" borderId="9" xfId="0" applyNumberFormat="1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/>
    </xf>
    <xf numFmtId="49" fontId="18" fillId="4" borderId="9" xfId="6" applyNumberFormat="1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vertical="center"/>
    </xf>
    <xf numFmtId="49" fontId="15" fillId="0" borderId="9" xfId="6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right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43" fillId="0" borderId="0" xfId="1" applyFont="1" applyFill="1" applyAlignment="1">
      <alignment horizontal="center" vertical="center"/>
    </xf>
    <xf numFmtId="0" fontId="22" fillId="0" borderId="0" xfId="5" applyFont="1" applyFill="1" applyAlignment="1">
      <alignment horizontal="center" vertical="center"/>
    </xf>
    <xf numFmtId="0" fontId="44" fillId="0" borderId="0" xfId="2" applyFont="1" applyFill="1" applyAlignment="1">
      <alignment horizontal="center" vertical="center" wrapText="1"/>
    </xf>
    <xf numFmtId="4" fontId="18" fillId="0" borderId="16" xfId="0" applyNumberFormat="1" applyFont="1" applyBorder="1" applyAlignment="1">
      <alignment horizontal="center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22" fillId="0" borderId="17" xfId="0" applyNumberFormat="1" applyFont="1" applyBorder="1" applyAlignment="1">
      <alignment horizontal="center" vertical="center"/>
    </xf>
    <xf numFmtId="4" fontId="22" fillId="0" borderId="10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" fontId="7" fillId="0" borderId="16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4" fontId="9" fillId="0" borderId="1" xfId="0" applyNumberFormat="1" applyFont="1" applyBorder="1" applyAlignment="1">
      <alignment horizontal="center" vertical="center"/>
    </xf>
    <xf numFmtId="0" fontId="20" fillId="0" borderId="0" xfId="8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14" fontId="9" fillId="0" borderId="10" xfId="0" applyNumberFormat="1" applyFont="1" applyBorder="1" applyAlignment="1">
      <alignment horizontal="center" vertical="center" wrapText="1"/>
    </xf>
    <xf numFmtId="49" fontId="19" fillId="0" borderId="9" xfId="7" applyNumberFormat="1" applyFont="1" applyBorder="1" applyAlignment="1">
      <alignment horizontal="right" vertical="center"/>
    </xf>
    <xf numFmtId="49" fontId="19" fillId="0" borderId="1" xfId="7" applyNumberFormat="1" applyFont="1" applyBorder="1" applyAlignment="1">
      <alignment horizontal="right" vertical="center"/>
    </xf>
    <xf numFmtId="49" fontId="45" fillId="0" borderId="11" xfId="7" applyNumberFormat="1" applyFont="1" applyBorder="1" applyAlignment="1">
      <alignment horizontal="right" vertical="center"/>
    </xf>
    <xf numFmtId="49" fontId="45" fillId="0" borderId="12" xfId="7" applyNumberFormat="1" applyFont="1" applyBorder="1" applyAlignment="1">
      <alignment horizontal="right" vertical="center"/>
    </xf>
    <xf numFmtId="4" fontId="25" fillId="0" borderId="1" xfId="0" quotePrefix="1" applyNumberFormat="1" applyFont="1" applyBorder="1" applyAlignment="1">
      <alignment horizontal="center" vertical="center"/>
    </xf>
    <xf numFmtId="4" fontId="47" fillId="0" borderId="12" xfId="0" quotePrefix="1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0" fillId="4" borderId="16" xfId="0" quotePrefix="1" applyFont="1" applyFill="1" applyBorder="1" applyAlignment="1">
      <alignment horizontal="center" vertical="center"/>
    </xf>
    <xf numFmtId="0" fontId="10" fillId="4" borderId="17" xfId="0" quotePrefix="1" applyFont="1" applyFill="1" applyBorder="1" applyAlignment="1">
      <alignment horizontal="center" vertical="center"/>
    </xf>
    <xf numFmtId="0" fontId="10" fillId="4" borderId="15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51">
    <cellStyle name="Excel Built-in Bad" xfId="48" xr:uid="{E7DD0517-A8D5-4052-B50D-79C5706D4164}"/>
    <cellStyle name="Excel Built-in Good" xfId="49" xr:uid="{91C4408F-D56A-48D8-96A1-3D18BDB08ADC}"/>
    <cellStyle name="Excel Built-in Neutral" xfId="47" xr:uid="{9F530DB2-BC3D-4701-AB44-DF370D084617}"/>
    <cellStyle name="Excel Built-in Normal" xfId="36" xr:uid="{37F28498-1241-448B-A6A6-861016666697}"/>
    <cellStyle name="Excel Built-in Output" xfId="46" xr:uid="{4A63294F-88CE-4134-90DF-57105A9AA1A1}"/>
    <cellStyle name="Акт" xfId="10" xr:uid="{7E689634-9C8C-4A70-86A0-25C2EB460C3C}"/>
    <cellStyle name="АктМТСН" xfId="11" xr:uid="{C8396E86-A7D5-4333-8512-4A6F46540D03}"/>
    <cellStyle name="ВедРесурсов" xfId="12" xr:uid="{7E1DDE7C-C4BA-4046-86EE-575120E1A82B}"/>
    <cellStyle name="ВедРесурсовАкт" xfId="13" xr:uid="{230871B6-9FE1-4F82-8EE4-28B65BDC023C}"/>
    <cellStyle name="Итоги" xfId="14" xr:uid="{20BAD935-206C-43BF-A9FC-8467345E201F}"/>
    <cellStyle name="ИтогоАктБазЦ" xfId="15" xr:uid="{43A1D68B-F94C-41CF-8168-46E79EEFEB77}"/>
    <cellStyle name="ИтогоАктТекЦ" xfId="16" xr:uid="{2A9521C2-80DC-4558-9D6C-B799CD173BDF}"/>
    <cellStyle name="ИтогоБазЦ" xfId="17" xr:uid="{A49B6373-24FD-497D-80FA-79900EE8E269}"/>
    <cellStyle name="ИтогоБИМ" xfId="18" xr:uid="{2BC30537-A865-494A-9959-881861E6115E}"/>
    <cellStyle name="ИтогоТекЦ" xfId="19" xr:uid="{ECFEF22B-E556-44C3-8B13-9457E81B9675}"/>
    <cellStyle name="ЛокСмета" xfId="20" xr:uid="{0B1C71A4-BF5D-445E-977B-588866958330}"/>
    <cellStyle name="ЛокСмета 2" xfId="21" xr:uid="{9FA11F00-F30C-4854-8A80-3C47166472E4}"/>
    <cellStyle name="ЛокСмМТСН" xfId="22" xr:uid="{64E51888-0EB2-450B-B4DA-EA86DF496729}"/>
    <cellStyle name="Обычный" xfId="0" builtinId="0"/>
    <cellStyle name="Обычный 2" xfId="4" xr:uid="{00000000-0005-0000-0000-000001000000}"/>
    <cellStyle name="Обычный 2 10 27 3 2 2" xfId="6" xr:uid="{8D543C99-CC89-4CA0-B985-472B64FF2394}"/>
    <cellStyle name="Обычный 2 2" xfId="1" xr:uid="{00000000-0005-0000-0000-000002000000}"/>
    <cellStyle name="Обычный 2 3" xfId="35" xr:uid="{91D60F22-8691-4838-99CA-525A6AB063DE}"/>
    <cellStyle name="Обычный 2 4" xfId="31" xr:uid="{34FF3A19-5401-4F5F-9876-C0833C9D798A}"/>
    <cellStyle name="Обычный 2 99 7" xfId="7" xr:uid="{6BC267EF-4B13-4B3B-BF8D-0441E27612D4}"/>
    <cellStyle name="Обычный 3" xfId="3" xr:uid="{00000000-0005-0000-0000-000003000000}"/>
    <cellStyle name="Обычный 3 2" xfId="45" xr:uid="{307BED09-DF43-48A7-B50F-099A148A7D92}"/>
    <cellStyle name="Обычный 3 3" xfId="44" xr:uid="{3D5BE9E8-3100-449A-BD7B-BACCE0A730B3}"/>
    <cellStyle name="Обычный 3 4" xfId="30" xr:uid="{3AA91E6E-24ED-46CE-8F2F-AF21611CCADB}"/>
    <cellStyle name="Обычный 4" xfId="2" xr:uid="{00000000-0005-0000-0000-000004000000}"/>
    <cellStyle name="Обычный 4 2" xfId="5" xr:uid="{00000000-0005-0000-0000-000005000000}"/>
    <cellStyle name="Обычный 4 2 2" xfId="37" xr:uid="{AE9CBEF8-0BED-418A-9A27-BAD81411D48D}"/>
    <cellStyle name="Обычный 4 3" xfId="43" xr:uid="{EDB0E317-A2C5-487D-BC9F-75303EC6FED7}"/>
    <cellStyle name="Обычный 4 4" xfId="50" xr:uid="{14CF0472-2070-410D-8D30-3AE67281E586}"/>
    <cellStyle name="Обычный 4 5" xfId="9" xr:uid="{F01EF36C-4F1D-464B-A339-32B3A03795FB}"/>
    <cellStyle name="Обычный 5" xfId="41" xr:uid="{53194CF5-6ABA-48A5-8408-993E0B191D56}"/>
    <cellStyle name="Обычный 6" xfId="32" xr:uid="{579CFA37-3381-4FB6-BF49-A65FB6E1E643}"/>
    <cellStyle name="Обычный 7" xfId="42" xr:uid="{435B597D-4355-482F-81A7-127013371D74}"/>
    <cellStyle name="Обычный 8" xfId="8" xr:uid="{76AC2058-27EC-4CFD-B8DF-124C27014DA4}"/>
    <cellStyle name="Параметр" xfId="23" xr:uid="{95033E72-E773-4C8B-BDB7-2750F4BFBFCA}"/>
    <cellStyle name="ПеременныеСметы" xfId="24" xr:uid="{DB0F076E-4751-49EE-9DF0-E68210CB8C25}"/>
    <cellStyle name="РесСмета" xfId="25" xr:uid="{686875AD-5CE1-4683-98C3-C14E51165433}"/>
    <cellStyle name="СводкаСтоимРаб" xfId="26" xr:uid="{C2C8ABCC-2A60-491A-92AF-69959EB78D7E}"/>
    <cellStyle name="Титул" xfId="27" xr:uid="{85ED6F8D-ED6A-45E5-98E3-EB7ED8FDF3C9}"/>
    <cellStyle name="Финансовый 2" xfId="33" xr:uid="{4A03E5FB-4DB9-4673-B2B4-D897F5B8FC76}"/>
    <cellStyle name="Финансовый 2 2" xfId="39" xr:uid="{908CF65E-7B58-4DA1-86F4-AABFDB90196A}"/>
    <cellStyle name="Финансовый 3" xfId="38" xr:uid="{3769E580-C9C9-41BB-A479-0546757BFF20}"/>
    <cellStyle name="Финансовый 4" xfId="40" xr:uid="{4FED91C5-7413-4470-BA6F-D0EA8989D6CC}"/>
    <cellStyle name="Хвост" xfId="28" xr:uid="{765ACD35-7937-4882-8A45-F6B4FD10599A}"/>
    <cellStyle name="Экспертиза" xfId="29" xr:uid="{EF036C7F-4BF7-473E-B943-35FA3D4A1A55}"/>
    <cellStyle name="㼿㼿㼿㼿㼿㼿㼿㼿㼿㼿㼿㼿㼿㼿" xfId="34" xr:uid="{3F986D51-7A57-414F-A193-DF6A9A093909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AML314"/>
  <sheetViews>
    <sheetView showZeros="0" tabSelected="1" view="pageBreakPreview" topLeftCell="A265" zoomScale="90" zoomScaleNormal="55" zoomScaleSheetLayoutView="90" workbookViewId="0">
      <selection activeCell="E282" sqref="E282"/>
    </sheetView>
  </sheetViews>
  <sheetFormatPr defaultColWidth="9.140625" defaultRowHeight="15.75" x14ac:dyDescent="0.25"/>
  <cols>
    <col min="1" max="1" width="9.5703125" style="72" customWidth="1"/>
    <col min="2" max="2" width="105" style="71" customWidth="1"/>
    <col min="3" max="3" width="13.140625" style="71" customWidth="1"/>
    <col min="4" max="4" width="8.5703125" style="72" customWidth="1"/>
    <col min="5" max="5" width="12.140625" style="73" customWidth="1"/>
    <col min="6" max="6" width="14.5703125" style="165" customWidth="1"/>
    <col min="7" max="7" width="19.28515625" style="73" customWidth="1"/>
    <col min="8" max="8" width="17.7109375" style="168" customWidth="1"/>
    <col min="9" max="9" width="17.42578125" style="165" customWidth="1"/>
    <col min="10" max="10" width="17.140625" style="72" customWidth="1"/>
    <col min="11" max="11" width="17.140625" style="180" customWidth="1"/>
    <col min="12" max="12" width="28" style="141" customWidth="1"/>
    <col min="13" max="13" width="13.5703125" style="57" customWidth="1"/>
    <col min="14" max="14" width="18.28515625" style="57" customWidth="1"/>
    <col min="15" max="15" width="11" style="57" customWidth="1"/>
    <col min="16" max="16" width="11.85546875" style="57" customWidth="1"/>
    <col min="17" max="17" width="11.42578125" style="57" customWidth="1"/>
    <col min="18" max="18" width="9.140625" style="57" customWidth="1"/>
    <col min="19" max="16384" width="9.140625" style="57"/>
  </cols>
  <sheetData>
    <row r="1" spans="1:13" s="52" customFormat="1" ht="15" x14ac:dyDescent="0.25">
      <c r="A1" s="125"/>
      <c r="B1" s="126"/>
      <c r="C1" s="125"/>
      <c r="D1" s="126"/>
      <c r="E1" s="126"/>
      <c r="F1" s="169"/>
      <c r="G1" s="125"/>
      <c r="H1" s="170"/>
      <c r="I1" s="169"/>
      <c r="J1" s="125"/>
      <c r="K1" s="170"/>
      <c r="L1" s="126"/>
    </row>
    <row r="2" spans="1:13" s="70" customFormat="1" x14ac:dyDescent="0.25">
      <c r="A2" s="212" t="s">
        <v>136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</row>
    <row r="3" spans="1:13" s="70" customFormat="1" x14ac:dyDescent="0.25">
      <c r="A3" s="213" t="s">
        <v>233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</row>
    <row r="4" spans="1:13" s="70" customFormat="1" x14ac:dyDescent="0.25">
      <c r="A4" s="214" t="s">
        <v>268</v>
      </c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</row>
    <row r="5" spans="1:13" s="70" customFormat="1" ht="16.5" thickBot="1" x14ac:dyDescent="0.3">
      <c r="A5" s="127"/>
      <c r="B5" s="127"/>
      <c r="C5" s="127"/>
      <c r="D5" s="127"/>
      <c r="E5" s="127"/>
      <c r="F5" s="163"/>
      <c r="G5" s="154"/>
      <c r="H5" s="143"/>
      <c r="I5" s="163"/>
      <c r="J5" s="154"/>
      <c r="K5" s="143"/>
      <c r="L5" s="127"/>
    </row>
    <row r="6" spans="1:13" x14ac:dyDescent="0.25">
      <c r="A6" s="220" t="s">
        <v>130</v>
      </c>
      <c r="B6" s="222" t="s">
        <v>131</v>
      </c>
      <c r="C6" s="222" t="s">
        <v>135</v>
      </c>
      <c r="D6" s="222" t="s">
        <v>132</v>
      </c>
      <c r="E6" s="224" t="s">
        <v>133</v>
      </c>
      <c r="F6" s="215" t="s">
        <v>269</v>
      </c>
      <c r="G6" s="215"/>
      <c r="H6" s="215"/>
      <c r="I6" s="215" t="s">
        <v>270</v>
      </c>
      <c r="J6" s="215"/>
      <c r="K6" s="215"/>
      <c r="L6" s="218" t="s">
        <v>140</v>
      </c>
    </row>
    <row r="7" spans="1:13" x14ac:dyDescent="0.25">
      <c r="A7" s="221"/>
      <c r="B7" s="223"/>
      <c r="C7" s="223"/>
      <c r="D7" s="223"/>
      <c r="E7" s="225"/>
      <c r="F7" s="217" t="s">
        <v>138</v>
      </c>
      <c r="G7" s="216" t="s">
        <v>139</v>
      </c>
      <c r="H7" s="216"/>
      <c r="I7" s="217" t="s">
        <v>138</v>
      </c>
      <c r="J7" s="216" t="s">
        <v>139</v>
      </c>
      <c r="K7" s="216"/>
      <c r="L7" s="219"/>
    </row>
    <row r="8" spans="1:13" x14ac:dyDescent="0.25">
      <c r="A8" s="221"/>
      <c r="B8" s="223"/>
      <c r="C8" s="223"/>
      <c r="D8" s="223"/>
      <c r="E8" s="225"/>
      <c r="F8" s="217"/>
      <c r="G8" s="115" t="s">
        <v>141</v>
      </c>
      <c r="H8" s="115" t="s">
        <v>142</v>
      </c>
      <c r="I8" s="217"/>
      <c r="J8" s="115" t="s">
        <v>141</v>
      </c>
      <c r="K8" s="115" t="s">
        <v>142</v>
      </c>
      <c r="L8" s="219"/>
    </row>
    <row r="9" spans="1:13" s="58" customFormat="1" x14ac:dyDescent="0.25">
      <c r="A9" s="181"/>
      <c r="B9" s="101" t="s">
        <v>198</v>
      </c>
      <c r="C9" s="101"/>
      <c r="D9" s="101"/>
      <c r="E9" s="108"/>
      <c r="F9" s="108"/>
      <c r="G9" s="155"/>
      <c r="H9" s="145"/>
      <c r="I9" s="108"/>
      <c r="J9" s="155"/>
      <c r="K9" s="145"/>
      <c r="L9" s="182"/>
      <c r="M9" s="56" t="s">
        <v>203</v>
      </c>
    </row>
    <row r="10" spans="1:13" s="58" customFormat="1" x14ac:dyDescent="0.25">
      <c r="A10" s="183"/>
      <c r="B10" s="96" t="s">
        <v>165</v>
      </c>
      <c r="C10" s="96"/>
      <c r="D10" s="96"/>
      <c r="E10" s="109"/>
      <c r="F10" s="109"/>
      <c r="G10" s="156"/>
      <c r="H10" s="146"/>
      <c r="I10" s="109"/>
      <c r="J10" s="156"/>
      <c r="K10" s="146"/>
      <c r="L10" s="184"/>
      <c r="M10" s="56" t="s">
        <v>168</v>
      </c>
    </row>
    <row r="11" spans="1:13" s="58" customFormat="1" x14ac:dyDescent="0.25">
      <c r="A11" s="185"/>
      <c r="B11" s="110" t="s">
        <v>154</v>
      </c>
      <c r="C11" s="97"/>
      <c r="D11" s="98"/>
      <c r="E11" s="110"/>
      <c r="F11" s="110"/>
      <c r="G11" s="157"/>
      <c r="H11" s="147"/>
      <c r="I11" s="110"/>
      <c r="J11" s="157"/>
      <c r="K11" s="147"/>
      <c r="L11" s="186"/>
    </row>
    <row r="12" spans="1:13" s="58" customFormat="1" x14ac:dyDescent="0.25">
      <c r="A12" s="187">
        <f t="shared" ref="A12:A80" si="0">A11+1</f>
        <v>1</v>
      </c>
      <c r="B12" s="102" t="s">
        <v>175</v>
      </c>
      <c r="C12" s="95"/>
      <c r="D12" s="95" t="s">
        <v>88</v>
      </c>
      <c r="E12" s="104">
        <v>7.53</v>
      </c>
      <c r="F12" s="105">
        <f>G12+H12</f>
        <v>0</v>
      </c>
      <c r="G12" s="158"/>
      <c r="H12" s="148"/>
      <c r="I12" s="105">
        <f>J12+K12</f>
        <v>0</v>
      </c>
      <c r="J12" s="158">
        <f>G12*E12</f>
        <v>0</v>
      </c>
      <c r="K12" s="148">
        <f>H12*E12</f>
        <v>0</v>
      </c>
      <c r="L12" s="188"/>
    </row>
    <row r="13" spans="1:13" s="54" customFormat="1" x14ac:dyDescent="0.25">
      <c r="A13" s="189">
        <f t="shared" si="0"/>
        <v>2</v>
      </c>
      <c r="B13" s="61" t="s">
        <v>234</v>
      </c>
      <c r="C13" s="62">
        <f>5</f>
        <v>5</v>
      </c>
      <c r="D13" s="62" t="s">
        <v>161</v>
      </c>
      <c r="E13" s="55">
        <f>ROUND(E12*C13,2)</f>
        <v>37.65</v>
      </c>
      <c r="F13" s="124">
        <f t="shared" ref="F13:F74" si="1">G13+H13</f>
        <v>0</v>
      </c>
      <c r="G13" s="53"/>
      <c r="H13" s="149"/>
      <c r="I13" s="124">
        <f t="shared" ref="I13:I74" si="2">J13+K13</f>
        <v>0</v>
      </c>
      <c r="J13" s="53">
        <f t="shared" ref="J13:J74" si="3">G13*E13</f>
        <v>0</v>
      </c>
      <c r="K13" s="149">
        <f t="shared" ref="K13:K74" si="4">H13*E13</f>
        <v>0</v>
      </c>
      <c r="L13" s="190" t="s">
        <v>134</v>
      </c>
    </row>
    <row r="14" spans="1:13" x14ac:dyDescent="0.25">
      <c r="A14" s="189">
        <f t="shared" si="0"/>
        <v>3</v>
      </c>
      <c r="B14" s="61" t="s">
        <v>173</v>
      </c>
      <c r="C14" s="63">
        <v>2.2000000000000002</v>
      </c>
      <c r="D14" s="62" t="s">
        <v>88</v>
      </c>
      <c r="E14" s="55">
        <f>ROUND(E12*C14,2)</f>
        <v>16.57</v>
      </c>
      <c r="F14" s="124">
        <f t="shared" si="1"/>
        <v>0</v>
      </c>
      <c r="G14" s="53"/>
      <c r="H14" s="149"/>
      <c r="I14" s="124">
        <f t="shared" si="2"/>
        <v>0</v>
      </c>
      <c r="J14" s="53">
        <f t="shared" si="3"/>
        <v>0</v>
      </c>
      <c r="K14" s="149">
        <f t="shared" si="4"/>
        <v>0</v>
      </c>
      <c r="L14" s="190" t="s">
        <v>134</v>
      </c>
    </row>
    <row r="15" spans="1:13" s="58" customFormat="1" x14ac:dyDescent="0.25">
      <c r="A15" s="191">
        <f t="shared" si="0"/>
        <v>4</v>
      </c>
      <c r="B15" s="102" t="s">
        <v>174</v>
      </c>
      <c r="C15" s="95"/>
      <c r="D15" s="95" t="s">
        <v>88</v>
      </c>
      <c r="E15" s="104">
        <v>7.53</v>
      </c>
      <c r="F15" s="105">
        <f t="shared" si="1"/>
        <v>0</v>
      </c>
      <c r="G15" s="158"/>
      <c r="H15" s="148"/>
      <c r="I15" s="105">
        <f t="shared" si="2"/>
        <v>0</v>
      </c>
      <c r="J15" s="158">
        <f t="shared" si="3"/>
        <v>0</v>
      </c>
      <c r="K15" s="148">
        <f t="shared" si="4"/>
        <v>0</v>
      </c>
      <c r="L15" s="188"/>
    </row>
    <row r="16" spans="1:13" s="54" customFormat="1" x14ac:dyDescent="0.25">
      <c r="A16" s="189">
        <f t="shared" si="0"/>
        <v>5</v>
      </c>
      <c r="B16" s="61" t="s">
        <v>235</v>
      </c>
      <c r="C16" s="62">
        <f>(30/1000+60/1000)/2</f>
        <v>4.4999999999999998E-2</v>
      </c>
      <c r="D16" s="62" t="s">
        <v>161</v>
      </c>
      <c r="E16" s="55">
        <f>ROUND(E15*C16,2)</f>
        <v>0.34</v>
      </c>
      <c r="F16" s="124">
        <f t="shared" si="1"/>
        <v>0</v>
      </c>
      <c r="G16" s="53"/>
      <c r="H16" s="149"/>
      <c r="I16" s="124">
        <f t="shared" si="2"/>
        <v>0</v>
      </c>
      <c r="J16" s="53">
        <f t="shared" si="3"/>
        <v>0</v>
      </c>
      <c r="K16" s="149">
        <f t="shared" si="4"/>
        <v>0</v>
      </c>
      <c r="L16" s="190" t="s">
        <v>134</v>
      </c>
    </row>
    <row r="17" spans="1:12" s="54" customFormat="1" x14ac:dyDescent="0.25">
      <c r="A17" s="189">
        <f t="shared" si="0"/>
        <v>6</v>
      </c>
      <c r="B17" s="61" t="s">
        <v>236</v>
      </c>
      <c r="C17" s="62">
        <v>4.2</v>
      </c>
      <c r="D17" s="62" t="s">
        <v>161</v>
      </c>
      <c r="E17" s="55">
        <f>ROUND(E15*C17,2)</f>
        <v>31.63</v>
      </c>
      <c r="F17" s="124">
        <f t="shared" si="1"/>
        <v>0</v>
      </c>
      <c r="G17" s="53"/>
      <c r="H17" s="149"/>
      <c r="I17" s="124">
        <f t="shared" si="2"/>
        <v>0</v>
      </c>
      <c r="J17" s="53">
        <f t="shared" si="3"/>
        <v>0</v>
      </c>
      <c r="K17" s="149">
        <f t="shared" si="4"/>
        <v>0</v>
      </c>
      <c r="L17" s="190" t="s">
        <v>134</v>
      </c>
    </row>
    <row r="18" spans="1:12" s="54" customFormat="1" x14ac:dyDescent="0.25">
      <c r="A18" s="189">
        <f t="shared" si="0"/>
        <v>7</v>
      </c>
      <c r="B18" s="61" t="s">
        <v>237</v>
      </c>
      <c r="C18" s="62">
        <v>0.3</v>
      </c>
      <c r="D18" s="62" t="s">
        <v>161</v>
      </c>
      <c r="E18" s="55">
        <f>ROUND(E15*C18,2)</f>
        <v>2.2599999999999998</v>
      </c>
      <c r="F18" s="124">
        <f t="shared" si="1"/>
        <v>0</v>
      </c>
      <c r="G18" s="53"/>
      <c r="H18" s="149"/>
      <c r="I18" s="124">
        <f t="shared" si="2"/>
        <v>0</v>
      </c>
      <c r="J18" s="53">
        <f t="shared" si="3"/>
        <v>0</v>
      </c>
      <c r="K18" s="149">
        <f t="shared" si="4"/>
        <v>0</v>
      </c>
      <c r="L18" s="190" t="s">
        <v>134</v>
      </c>
    </row>
    <row r="19" spans="1:12" s="54" customFormat="1" ht="47.25" x14ac:dyDescent="0.25">
      <c r="A19" s="189">
        <f t="shared" si="0"/>
        <v>8</v>
      </c>
      <c r="B19" s="61" t="s">
        <v>238</v>
      </c>
      <c r="C19" s="62">
        <f>1.1</f>
        <v>1.1000000000000001</v>
      </c>
      <c r="D19" s="62" t="s">
        <v>88</v>
      </c>
      <c r="E19" s="55">
        <f>ROUND(E15*C19,2)</f>
        <v>8.2799999999999994</v>
      </c>
      <c r="F19" s="124">
        <f t="shared" si="1"/>
        <v>0</v>
      </c>
      <c r="G19" s="53"/>
      <c r="H19" s="149"/>
      <c r="I19" s="124">
        <f t="shared" si="2"/>
        <v>0</v>
      </c>
      <c r="J19" s="53">
        <f t="shared" si="3"/>
        <v>0</v>
      </c>
      <c r="K19" s="149">
        <f t="shared" si="4"/>
        <v>0</v>
      </c>
      <c r="L19" s="192" t="s">
        <v>137</v>
      </c>
    </row>
    <row r="20" spans="1:12" s="58" customFormat="1" x14ac:dyDescent="0.25">
      <c r="A20" s="185"/>
      <c r="B20" s="110" t="s">
        <v>178</v>
      </c>
      <c r="C20" s="97"/>
      <c r="D20" s="98"/>
      <c r="E20" s="110"/>
      <c r="F20" s="110"/>
      <c r="G20" s="157"/>
      <c r="H20" s="147"/>
      <c r="I20" s="110"/>
      <c r="J20" s="157"/>
      <c r="K20" s="147"/>
      <c r="L20" s="186"/>
    </row>
    <row r="21" spans="1:12" s="58" customFormat="1" x14ac:dyDescent="0.25">
      <c r="A21" s="191">
        <v>9</v>
      </c>
      <c r="B21" s="102" t="s">
        <v>174</v>
      </c>
      <c r="C21" s="95"/>
      <c r="D21" s="95" t="s">
        <v>88</v>
      </c>
      <c r="E21" s="104">
        <v>50.87</v>
      </c>
      <c r="F21" s="105">
        <f t="shared" si="1"/>
        <v>0</v>
      </c>
      <c r="G21" s="158"/>
      <c r="H21" s="148"/>
      <c r="I21" s="105">
        <f t="shared" si="2"/>
        <v>0</v>
      </c>
      <c r="J21" s="158">
        <f t="shared" si="3"/>
        <v>0</v>
      </c>
      <c r="K21" s="148">
        <f t="shared" si="4"/>
        <v>0</v>
      </c>
      <c r="L21" s="188"/>
    </row>
    <row r="22" spans="1:12" s="54" customFormat="1" x14ac:dyDescent="0.25">
      <c r="A22" s="189">
        <f t="shared" si="0"/>
        <v>10</v>
      </c>
      <c r="B22" s="61" t="s">
        <v>235</v>
      </c>
      <c r="C22" s="62">
        <f>(30/1000+60/1000)/2</f>
        <v>4.4999999999999998E-2</v>
      </c>
      <c r="D22" s="62" t="s">
        <v>161</v>
      </c>
      <c r="E22" s="55">
        <f>ROUND(E21*C22,2)</f>
        <v>2.29</v>
      </c>
      <c r="F22" s="124">
        <f t="shared" si="1"/>
        <v>0</v>
      </c>
      <c r="G22" s="53"/>
      <c r="H22" s="149"/>
      <c r="I22" s="124">
        <f t="shared" si="2"/>
        <v>0</v>
      </c>
      <c r="J22" s="53">
        <f t="shared" si="3"/>
        <v>0</v>
      </c>
      <c r="K22" s="149">
        <f t="shared" si="4"/>
        <v>0</v>
      </c>
      <c r="L22" s="190" t="s">
        <v>134</v>
      </c>
    </row>
    <row r="23" spans="1:12" s="54" customFormat="1" x14ac:dyDescent="0.25">
      <c r="A23" s="189">
        <f t="shared" si="0"/>
        <v>11</v>
      </c>
      <c r="B23" s="61" t="s">
        <v>236</v>
      </c>
      <c r="C23" s="62">
        <v>4.2</v>
      </c>
      <c r="D23" s="62" t="s">
        <v>161</v>
      </c>
      <c r="E23" s="55">
        <f>ROUND(E21*C23,2)</f>
        <v>213.65</v>
      </c>
      <c r="F23" s="124">
        <f t="shared" si="1"/>
        <v>0</v>
      </c>
      <c r="G23" s="53"/>
      <c r="H23" s="149"/>
      <c r="I23" s="124">
        <f t="shared" si="2"/>
        <v>0</v>
      </c>
      <c r="J23" s="53">
        <f t="shared" si="3"/>
        <v>0</v>
      </c>
      <c r="K23" s="149">
        <f t="shared" si="4"/>
        <v>0</v>
      </c>
      <c r="L23" s="190" t="s">
        <v>134</v>
      </c>
    </row>
    <row r="24" spans="1:12" s="54" customFormat="1" x14ac:dyDescent="0.25">
      <c r="A24" s="189">
        <f t="shared" si="0"/>
        <v>12</v>
      </c>
      <c r="B24" s="61" t="s">
        <v>237</v>
      </c>
      <c r="C24" s="62">
        <v>0.3</v>
      </c>
      <c r="D24" s="62" t="s">
        <v>161</v>
      </c>
      <c r="E24" s="55">
        <f>ROUND(E21*C24,2)</f>
        <v>15.26</v>
      </c>
      <c r="F24" s="124">
        <f t="shared" si="1"/>
        <v>0</v>
      </c>
      <c r="G24" s="53"/>
      <c r="H24" s="149"/>
      <c r="I24" s="124">
        <f t="shared" si="2"/>
        <v>0</v>
      </c>
      <c r="J24" s="53">
        <f t="shared" si="3"/>
        <v>0</v>
      </c>
      <c r="K24" s="149">
        <f t="shared" si="4"/>
        <v>0</v>
      </c>
      <c r="L24" s="190" t="s">
        <v>134</v>
      </c>
    </row>
    <row r="25" spans="1:12" s="54" customFormat="1" ht="47.25" x14ac:dyDescent="0.25">
      <c r="A25" s="189">
        <f t="shared" si="0"/>
        <v>13</v>
      </c>
      <c r="B25" s="61" t="s">
        <v>238</v>
      </c>
      <c r="C25" s="62">
        <f>1.1</f>
        <v>1.1000000000000001</v>
      </c>
      <c r="D25" s="62" t="s">
        <v>88</v>
      </c>
      <c r="E25" s="55">
        <f>ROUND(E21*C25,2)</f>
        <v>55.96</v>
      </c>
      <c r="F25" s="124">
        <f t="shared" si="1"/>
        <v>0</v>
      </c>
      <c r="G25" s="53"/>
      <c r="H25" s="149"/>
      <c r="I25" s="124">
        <f t="shared" si="2"/>
        <v>0</v>
      </c>
      <c r="J25" s="53">
        <f t="shared" si="3"/>
        <v>0</v>
      </c>
      <c r="K25" s="149">
        <f t="shared" si="4"/>
        <v>0</v>
      </c>
      <c r="L25" s="192" t="s">
        <v>137</v>
      </c>
    </row>
    <row r="26" spans="1:12" s="58" customFormat="1" x14ac:dyDescent="0.25">
      <c r="A26" s="185"/>
      <c r="B26" s="110" t="s">
        <v>181</v>
      </c>
      <c r="C26" s="97"/>
      <c r="D26" s="98"/>
      <c r="E26" s="110"/>
      <c r="F26" s="110"/>
      <c r="G26" s="157"/>
      <c r="H26" s="147"/>
      <c r="I26" s="110"/>
      <c r="J26" s="157"/>
      <c r="K26" s="147"/>
      <c r="L26" s="186"/>
    </row>
    <row r="27" spans="1:12" s="56" customFormat="1" x14ac:dyDescent="0.25">
      <c r="A27" s="191">
        <v>14</v>
      </c>
      <c r="B27" s="102" t="s">
        <v>256</v>
      </c>
      <c r="C27" s="106"/>
      <c r="D27" s="95" t="s">
        <v>88</v>
      </c>
      <c r="E27" s="105">
        <v>0.42</v>
      </c>
      <c r="F27" s="105">
        <f t="shared" si="1"/>
        <v>0</v>
      </c>
      <c r="G27" s="158"/>
      <c r="H27" s="148"/>
      <c r="I27" s="105">
        <f t="shared" si="2"/>
        <v>0</v>
      </c>
      <c r="J27" s="158">
        <f t="shared" si="3"/>
        <v>0</v>
      </c>
      <c r="K27" s="148">
        <f t="shared" si="4"/>
        <v>0</v>
      </c>
      <c r="L27" s="188"/>
    </row>
    <row r="28" spans="1:12" x14ac:dyDescent="0.25">
      <c r="A28" s="193">
        <f>A27+1</f>
        <v>15</v>
      </c>
      <c r="B28" s="61" t="s">
        <v>180</v>
      </c>
      <c r="C28" s="63">
        <v>1.1000000000000001</v>
      </c>
      <c r="D28" s="62" t="s">
        <v>88</v>
      </c>
      <c r="E28" s="55">
        <f>ROUND(E27*C28,2)</f>
        <v>0.46</v>
      </c>
      <c r="F28" s="124">
        <f t="shared" si="1"/>
        <v>0</v>
      </c>
      <c r="G28" s="53"/>
      <c r="H28" s="149"/>
      <c r="I28" s="124">
        <f t="shared" si="2"/>
        <v>0</v>
      </c>
      <c r="J28" s="53">
        <f t="shared" si="3"/>
        <v>0</v>
      </c>
      <c r="K28" s="149">
        <f t="shared" si="4"/>
        <v>0</v>
      </c>
      <c r="L28" s="190"/>
    </row>
    <row r="29" spans="1:12" s="58" customFormat="1" x14ac:dyDescent="0.25">
      <c r="A29" s="191">
        <f>A28+1</f>
        <v>16</v>
      </c>
      <c r="B29" s="102" t="s">
        <v>174</v>
      </c>
      <c r="C29" s="95"/>
      <c r="D29" s="95" t="s">
        <v>88</v>
      </c>
      <c r="E29" s="104">
        <v>0.42</v>
      </c>
      <c r="F29" s="105">
        <f t="shared" si="1"/>
        <v>0</v>
      </c>
      <c r="G29" s="158"/>
      <c r="H29" s="148"/>
      <c r="I29" s="105">
        <f t="shared" si="2"/>
        <v>0</v>
      </c>
      <c r="J29" s="158">
        <f t="shared" si="3"/>
        <v>0</v>
      </c>
      <c r="K29" s="148">
        <f t="shared" si="4"/>
        <v>0</v>
      </c>
      <c r="L29" s="188"/>
    </row>
    <row r="30" spans="1:12" s="54" customFormat="1" x14ac:dyDescent="0.25">
      <c r="A30" s="189">
        <f t="shared" si="0"/>
        <v>17</v>
      </c>
      <c r="B30" s="61" t="s">
        <v>236</v>
      </c>
      <c r="C30" s="62">
        <v>4.2</v>
      </c>
      <c r="D30" s="62" t="s">
        <v>161</v>
      </c>
      <c r="E30" s="55">
        <f>ROUND(E29*C30,2)</f>
        <v>1.76</v>
      </c>
      <c r="F30" s="124">
        <f t="shared" si="1"/>
        <v>0</v>
      </c>
      <c r="G30" s="53"/>
      <c r="H30" s="149"/>
      <c r="I30" s="124">
        <f t="shared" si="2"/>
        <v>0</v>
      </c>
      <c r="J30" s="53">
        <f t="shared" si="3"/>
        <v>0</v>
      </c>
      <c r="K30" s="149">
        <f t="shared" si="4"/>
        <v>0</v>
      </c>
      <c r="L30" s="190" t="s">
        <v>134</v>
      </c>
    </row>
    <row r="31" spans="1:12" s="54" customFormat="1" x14ac:dyDescent="0.25">
      <c r="A31" s="189">
        <f t="shared" si="0"/>
        <v>18</v>
      </c>
      <c r="B31" s="61" t="s">
        <v>237</v>
      </c>
      <c r="C31" s="62">
        <v>0.3</v>
      </c>
      <c r="D31" s="62" t="s">
        <v>161</v>
      </c>
      <c r="E31" s="55">
        <f>ROUND(E29*C31,2)</f>
        <v>0.13</v>
      </c>
      <c r="F31" s="124">
        <f t="shared" si="1"/>
        <v>0</v>
      </c>
      <c r="G31" s="53"/>
      <c r="H31" s="149"/>
      <c r="I31" s="124">
        <f t="shared" si="2"/>
        <v>0</v>
      </c>
      <c r="J31" s="53">
        <f t="shared" si="3"/>
        <v>0</v>
      </c>
      <c r="K31" s="149">
        <f t="shared" si="4"/>
        <v>0</v>
      </c>
      <c r="L31" s="190" t="s">
        <v>134</v>
      </c>
    </row>
    <row r="32" spans="1:12" s="54" customFormat="1" ht="47.25" x14ac:dyDescent="0.25">
      <c r="A32" s="189">
        <f t="shared" si="0"/>
        <v>19</v>
      </c>
      <c r="B32" s="61" t="s">
        <v>238</v>
      </c>
      <c r="C32" s="62">
        <f>1.1</f>
        <v>1.1000000000000001</v>
      </c>
      <c r="D32" s="62" t="s">
        <v>88</v>
      </c>
      <c r="E32" s="55">
        <f>ROUND(E29*C32,2)</f>
        <v>0.46</v>
      </c>
      <c r="F32" s="124">
        <f t="shared" si="1"/>
        <v>0</v>
      </c>
      <c r="G32" s="53"/>
      <c r="H32" s="149"/>
      <c r="I32" s="124">
        <f t="shared" si="2"/>
        <v>0</v>
      </c>
      <c r="J32" s="53">
        <f t="shared" si="3"/>
        <v>0</v>
      </c>
      <c r="K32" s="149">
        <f t="shared" si="4"/>
        <v>0</v>
      </c>
      <c r="L32" s="192" t="s">
        <v>137</v>
      </c>
    </row>
    <row r="33" spans="1:12" s="58" customFormat="1" x14ac:dyDescent="0.25">
      <c r="A33" s="194"/>
      <c r="B33" s="107" t="s">
        <v>177</v>
      </c>
      <c r="C33" s="107"/>
      <c r="D33" s="107"/>
      <c r="E33" s="107"/>
      <c r="F33" s="107"/>
      <c r="G33" s="159"/>
      <c r="H33" s="150"/>
      <c r="I33" s="107"/>
      <c r="J33" s="159"/>
      <c r="K33" s="150"/>
      <c r="L33" s="195"/>
    </row>
    <row r="34" spans="1:12" s="58" customFormat="1" x14ac:dyDescent="0.25">
      <c r="A34" s="185"/>
      <c r="B34" s="110" t="s">
        <v>166</v>
      </c>
      <c r="C34" s="98"/>
      <c r="D34" s="98"/>
      <c r="E34" s="110"/>
      <c r="F34" s="110"/>
      <c r="G34" s="157"/>
      <c r="H34" s="147"/>
      <c r="I34" s="110"/>
      <c r="J34" s="157"/>
      <c r="K34" s="147"/>
      <c r="L34" s="196"/>
    </row>
    <row r="35" spans="1:12" s="56" customFormat="1" x14ac:dyDescent="0.25">
      <c r="A35" s="191">
        <v>20</v>
      </c>
      <c r="B35" s="102" t="s">
        <v>162</v>
      </c>
      <c r="C35" s="106"/>
      <c r="D35" s="106" t="s">
        <v>88</v>
      </c>
      <c r="E35" s="105">
        <v>1331.18</v>
      </c>
      <c r="F35" s="105">
        <f t="shared" si="1"/>
        <v>0</v>
      </c>
      <c r="G35" s="158"/>
      <c r="H35" s="148"/>
      <c r="I35" s="105">
        <f t="shared" si="2"/>
        <v>0</v>
      </c>
      <c r="J35" s="158">
        <f t="shared" si="3"/>
        <v>0</v>
      </c>
      <c r="K35" s="148">
        <f t="shared" si="4"/>
        <v>0</v>
      </c>
      <c r="L35" s="188"/>
    </row>
    <row r="36" spans="1:12" x14ac:dyDescent="0.25">
      <c r="A36" s="189">
        <f t="shared" si="0"/>
        <v>21</v>
      </c>
      <c r="B36" s="61" t="s">
        <v>239</v>
      </c>
      <c r="C36" s="63">
        <v>6</v>
      </c>
      <c r="D36" s="63" t="s">
        <v>161</v>
      </c>
      <c r="E36" s="55">
        <f>ROUND(E35*C36,2)</f>
        <v>7987.08</v>
      </c>
      <c r="F36" s="124">
        <f t="shared" si="1"/>
        <v>0</v>
      </c>
      <c r="G36" s="53"/>
      <c r="H36" s="149"/>
      <c r="I36" s="124">
        <f t="shared" si="2"/>
        <v>0</v>
      </c>
      <c r="J36" s="53">
        <f t="shared" si="3"/>
        <v>0</v>
      </c>
      <c r="K36" s="149">
        <f t="shared" si="4"/>
        <v>0</v>
      </c>
      <c r="L36" s="190" t="s">
        <v>134</v>
      </c>
    </row>
    <row r="37" spans="1:12" s="58" customFormat="1" x14ac:dyDescent="0.25">
      <c r="A37" s="191">
        <f t="shared" si="0"/>
        <v>22</v>
      </c>
      <c r="B37" s="102" t="s">
        <v>167</v>
      </c>
      <c r="C37" s="95"/>
      <c r="D37" s="95" t="s">
        <v>88</v>
      </c>
      <c r="E37" s="105">
        <f>133.06/0.1</f>
        <v>1330.6</v>
      </c>
      <c r="F37" s="105">
        <f t="shared" si="1"/>
        <v>0</v>
      </c>
      <c r="G37" s="158"/>
      <c r="H37" s="148"/>
      <c r="I37" s="105">
        <f t="shared" si="2"/>
        <v>0</v>
      </c>
      <c r="J37" s="158">
        <f t="shared" si="3"/>
        <v>0</v>
      </c>
      <c r="K37" s="148">
        <f t="shared" si="4"/>
        <v>0</v>
      </c>
      <c r="L37" s="188"/>
    </row>
    <row r="38" spans="1:12" s="54" customFormat="1" x14ac:dyDescent="0.25">
      <c r="A38" s="189">
        <f t="shared" si="0"/>
        <v>23</v>
      </c>
      <c r="B38" s="61" t="s">
        <v>160</v>
      </c>
      <c r="C38" s="59">
        <f>1.03*0.1</f>
        <v>0.10299999999999999</v>
      </c>
      <c r="D38" s="60" t="s">
        <v>159</v>
      </c>
      <c r="E38" s="55">
        <f>ROUND(E37*C38,2)</f>
        <v>137.05000000000001</v>
      </c>
      <c r="F38" s="124">
        <f t="shared" si="1"/>
        <v>0</v>
      </c>
      <c r="G38" s="53"/>
      <c r="H38" s="149"/>
      <c r="I38" s="124">
        <f t="shared" si="2"/>
        <v>0</v>
      </c>
      <c r="J38" s="53">
        <f t="shared" si="3"/>
        <v>0</v>
      </c>
      <c r="K38" s="149">
        <f t="shared" si="4"/>
        <v>0</v>
      </c>
      <c r="L38" s="192" t="s">
        <v>137</v>
      </c>
    </row>
    <row r="39" spans="1:12" s="56" customFormat="1" ht="31.5" x14ac:dyDescent="0.25">
      <c r="A39" s="191">
        <f t="shared" si="0"/>
        <v>24</v>
      </c>
      <c r="B39" s="102" t="s">
        <v>176</v>
      </c>
      <c r="C39" s="106"/>
      <c r="D39" s="95" t="s">
        <v>88</v>
      </c>
      <c r="E39" s="105">
        <v>1330.65</v>
      </c>
      <c r="F39" s="105">
        <f t="shared" si="1"/>
        <v>0</v>
      </c>
      <c r="G39" s="158"/>
      <c r="H39" s="148"/>
      <c r="I39" s="105">
        <f t="shared" si="2"/>
        <v>0</v>
      </c>
      <c r="J39" s="158">
        <f t="shared" si="3"/>
        <v>0</v>
      </c>
      <c r="K39" s="148">
        <f t="shared" si="4"/>
        <v>0</v>
      </c>
      <c r="L39" s="188"/>
    </row>
    <row r="40" spans="1:12" x14ac:dyDescent="0.25">
      <c r="A40" s="189">
        <f t="shared" si="0"/>
        <v>25</v>
      </c>
      <c r="B40" s="61" t="s">
        <v>240</v>
      </c>
      <c r="C40" s="63">
        <v>6</v>
      </c>
      <c r="D40" s="62" t="s">
        <v>161</v>
      </c>
      <c r="E40" s="55">
        <f>ROUND(E39*C40,2)</f>
        <v>7983.9</v>
      </c>
      <c r="F40" s="124">
        <f t="shared" si="1"/>
        <v>0</v>
      </c>
      <c r="G40" s="53"/>
      <c r="H40" s="149"/>
      <c r="I40" s="124">
        <f t="shared" si="2"/>
        <v>0</v>
      </c>
      <c r="J40" s="53">
        <f t="shared" si="3"/>
        <v>0</v>
      </c>
      <c r="K40" s="149">
        <f t="shared" si="4"/>
        <v>0</v>
      </c>
      <c r="L40" s="190" t="s">
        <v>134</v>
      </c>
    </row>
    <row r="41" spans="1:12" x14ac:dyDescent="0.25">
      <c r="A41" s="189">
        <f t="shared" si="0"/>
        <v>26</v>
      </c>
      <c r="B41" s="61" t="s">
        <v>172</v>
      </c>
      <c r="C41" s="63">
        <v>1.1000000000000001</v>
      </c>
      <c r="D41" s="62" t="s">
        <v>88</v>
      </c>
      <c r="E41" s="55">
        <f>ROUND(E39*C41,2)</f>
        <v>1463.72</v>
      </c>
      <c r="F41" s="124">
        <f t="shared" si="1"/>
        <v>0</v>
      </c>
      <c r="G41" s="53"/>
      <c r="H41" s="149"/>
      <c r="I41" s="124">
        <f t="shared" si="2"/>
        <v>0</v>
      </c>
      <c r="J41" s="53">
        <f t="shared" si="3"/>
        <v>0</v>
      </c>
      <c r="K41" s="149">
        <f t="shared" si="4"/>
        <v>0</v>
      </c>
      <c r="L41" s="190" t="s">
        <v>134</v>
      </c>
    </row>
    <row r="42" spans="1:12" s="56" customFormat="1" x14ac:dyDescent="0.25">
      <c r="A42" s="191">
        <f t="shared" si="0"/>
        <v>27</v>
      </c>
      <c r="B42" s="102" t="s">
        <v>163</v>
      </c>
      <c r="C42" s="106"/>
      <c r="D42" s="106" t="s">
        <v>88</v>
      </c>
      <c r="E42" s="105">
        <v>1330.59</v>
      </c>
      <c r="F42" s="105">
        <f t="shared" si="1"/>
        <v>0</v>
      </c>
      <c r="G42" s="158"/>
      <c r="H42" s="148"/>
      <c r="I42" s="105">
        <f t="shared" si="2"/>
        <v>0</v>
      </c>
      <c r="J42" s="158">
        <f t="shared" si="3"/>
        <v>0</v>
      </c>
      <c r="K42" s="148">
        <f t="shared" si="4"/>
        <v>0</v>
      </c>
      <c r="L42" s="188"/>
    </row>
    <row r="43" spans="1:12" x14ac:dyDescent="0.25">
      <c r="A43" s="189">
        <f t="shared" si="0"/>
        <v>28</v>
      </c>
      <c r="B43" s="61" t="s">
        <v>243</v>
      </c>
      <c r="C43" s="63">
        <v>2</v>
      </c>
      <c r="D43" s="63" t="s">
        <v>161</v>
      </c>
      <c r="E43" s="55">
        <f>ROUND(E42*C43,2)</f>
        <v>2661.18</v>
      </c>
      <c r="F43" s="124">
        <f t="shared" si="1"/>
        <v>0</v>
      </c>
      <c r="G43" s="53"/>
      <c r="H43" s="149"/>
      <c r="I43" s="124">
        <f t="shared" si="2"/>
        <v>0</v>
      </c>
      <c r="J43" s="53">
        <f t="shared" si="3"/>
        <v>0</v>
      </c>
      <c r="K43" s="149">
        <f t="shared" si="4"/>
        <v>0</v>
      </c>
      <c r="L43" s="190" t="s">
        <v>134</v>
      </c>
    </row>
    <row r="44" spans="1:12" s="56" customFormat="1" x14ac:dyDescent="0.25">
      <c r="A44" s="191">
        <f>A43+1</f>
        <v>29</v>
      </c>
      <c r="B44" s="102" t="s">
        <v>254</v>
      </c>
      <c r="C44" s="106"/>
      <c r="D44" s="106" t="s">
        <v>88</v>
      </c>
      <c r="E44" s="105">
        <v>1331.38</v>
      </c>
      <c r="F44" s="105">
        <f t="shared" si="1"/>
        <v>0</v>
      </c>
      <c r="G44" s="158"/>
      <c r="H44" s="148"/>
      <c r="I44" s="105">
        <f t="shared" si="2"/>
        <v>0</v>
      </c>
      <c r="J44" s="158">
        <f t="shared" si="3"/>
        <v>0</v>
      </c>
      <c r="K44" s="148">
        <f t="shared" si="4"/>
        <v>0</v>
      </c>
      <c r="L44" s="188"/>
    </row>
    <row r="45" spans="1:12" s="54" customFormat="1" x14ac:dyDescent="0.25">
      <c r="A45" s="193">
        <f>A44+1</f>
        <v>30</v>
      </c>
      <c r="B45" s="61" t="s">
        <v>195</v>
      </c>
      <c r="C45" s="62">
        <v>0.4</v>
      </c>
      <c r="D45" s="62" t="s">
        <v>164</v>
      </c>
      <c r="E45" s="55">
        <f>ROUND(E44*C45,2)</f>
        <v>532.54999999999995</v>
      </c>
      <c r="F45" s="124">
        <f t="shared" si="1"/>
        <v>0</v>
      </c>
      <c r="G45" s="53"/>
      <c r="H45" s="149"/>
      <c r="I45" s="124">
        <f t="shared" si="2"/>
        <v>0</v>
      </c>
      <c r="J45" s="53">
        <f t="shared" si="3"/>
        <v>0</v>
      </c>
      <c r="K45" s="149">
        <f t="shared" si="4"/>
        <v>0</v>
      </c>
      <c r="L45" s="190" t="s">
        <v>134</v>
      </c>
    </row>
    <row r="46" spans="1:12" s="56" customFormat="1" x14ac:dyDescent="0.25">
      <c r="A46" s="191">
        <f>A45+1</f>
        <v>31</v>
      </c>
      <c r="B46" s="102" t="s">
        <v>255</v>
      </c>
      <c r="C46" s="106"/>
      <c r="D46" s="106" t="s">
        <v>88</v>
      </c>
      <c r="E46" s="105">
        <v>1330.57</v>
      </c>
      <c r="F46" s="105">
        <f t="shared" si="1"/>
        <v>0</v>
      </c>
      <c r="G46" s="158"/>
      <c r="H46" s="148"/>
      <c r="I46" s="105">
        <f t="shared" si="2"/>
        <v>0</v>
      </c>
      <c r="J46" s="158">
        <f t="shared" si="3"/>
        <v>0</v>
      </c>
      <c r="K46" s="148">
        <f t="shared" si="4"/>
        <v>0</v>
      </c>
      <c r="L46" s="188"/>
    </row>
    <row r="47" spans="1:12" s="54" customFormat="1" x14ac:dyDescent="0.25">
      <c r="A47" s="193">
        <f>A46+1</f>
        <v>32</v>
      </c>
      <c r="B47" s="61" t="s">
        <v>245</v>
      </c>
      <c r="C47" s="62">
        <v>0.45</v>
      </c>
      <c r="D47" s="62" t="s">
        <v>164</v>
      </c>
      <c r="E47" s="55">
        <f>ROUND(E46*C47,2)</f>
        <v>598.76</v>
      </c>
      <c r="F47" s="124">
        <f t="shared" si="1"/>
        <v>0</v>
      </c>
      <c r="G47" s="53"/>
      <c r="H47" s="149"/>
      <c r="I47" s="124">
        <f t="shared" si="2"/>
        <v>0</v>
      </c>
      <c r="J47" s="53">
        <f t="shared" si="3"/>
        <v>0</v>
      </c>
      <c r="K47" s="149">
        <f t="shared" si="4"/>
        <v>0</v>
      </c>
      <c r="L47" s="190" t="s">
        <v>134</v>
      </c>
    </row>
    <row r="48" spans="1:12" s="56" customFormat="1" x14ac:dyDescent="0.25">
      <c r="A48" s="185"/>
      <c r="B48" s="110" t="s">
        <v>169</v>
      </c>
      <c r="C48" s="97"/>
      <c r="D48" s="98"/>
      <c r="E48" s="99"/>
      <c r="F48" s="99"/>
      <c r="G48" s="160"/>
      <c r="H48" s="151"/>
      <c r="I48" s="99"/>
      <c r="J48" s="160"/>
      <c r="K48" s="151"/>
      <c r="L48" s="197"/>
    </row>
    <row r="49" spans="1:12" s="56" customFormat="1" x14ac:dyDescent="0.25">
      <c r="A49" s="191">
        <v>33</v>
      </c>
      <c r="B49" s="102" t="s">
        <v>170</v>
      </c>
      <c r="C49" s="106"/>
      <c r="D49" s="106" t="s">
        <v>88</v>
      </c>
      <c r="E49" s="105">
        <v>84.28</v>
      </c>
      <c r="F49" s="105">
        <f t="shared" si="1"/>
        <v>0</v>
      </c>
      <c r="G49" s="158"/>
      <c r="H49" s="148"/>
      <c r="I49" s="105">
        <f t="shared" si="2"/>
        <v>0</v>
      </c>
      <c r="J49" s="158">
        <f t="shared" si="3"/>
        <v>0</v>
      </c>
      <c r="K49" s="148">
        <f t="shared" si="4"/>
        <v>0</v>
      </c>
      <c r="L49" s="188"/>
    </row>
    <row r="50" spans="1:12" x14ac:dyDescent="0.25">
      <c r="A50" s="189">
        <f t="shared" si="0"/>
        <v>34</v>
      </c>
      <c r="B50" s="61" t="s">
        <v>246</v>
      </c>
      <c r="C50" s="63">
        <f>1.2*5</f>
        <v>6</v>
      </c>
      <c r="D50" s="63" t="s">
        <v>161</v>
      </c>
      <c r="E50" s="55">
        <f>ROUND(E49*C50,2)</f>
        <v>505.68</v>
      </c>
      <c r="F50" s="124">
        <f t="shared" si="1"/>
        <v>0</v>
      </c>
      <c r="G50" s="53"/>
      <c r="H50" s="149"/>
      <c r="I50" s="124">
        <f t="shared" si="2"/>
        <v>0</v>
      </c>
      <c r="J50" s="53">
        <f t="shared" si="3"/>
        <v>0</v>
      </c>
      <c r="K50" s="149">
        <f t="shared" si="4"/>
        <v>0</v>
      </c>
      <c r="L50" s="190" t="s">
        <v>134</v>
      </c>
    </row>
    <row r="51" spans="1:12" s="56" customFormat="1" x14ac:dyDescent="0.25">
      <c r="A51" s="187">
        <f t="shared" si="0"/>
        <v>35</v>
      </c>
      <c r="B51" s="102" t="s">
        <v>171</v>
      </c>
      <c r="C51" s="106"/>
      <c r="D51" s="106" t="s">
        <v>88</v>
      </c>
      <c r="E51" s="105">
        <v>84.28</v>
      </c>
      <c r="F51" s="105">
        <f t="shared" si="1"/>
        <v>0</v>
      </c>
      <c r="G51" s="158"/>
      <c r="H51" s="148"/>
      <c r="I51" s="105">
        <f t="shared" si="2"/>
        <v>0</v>
      </c>
      <c r="J51" s="158">
        <f t="shared" si="3"/>
        <v>0</v>
      </c>
      <c r="K51" s="148">
        <f t="shared" si="4"/>
        <v>0</v>
      </c>
      <c r="L51" s="188"/>
    </row>
    <row r="52" spans="1:12" s="54" customFormat="1" x14ac:dyDescent="0.25">
      <c r="A52" s="189">
        <f t="shared" si="0"/>
        <v>36</v>
      </c>
      <c r="B52" s="61" t="s">
        <v>195</v>
      </c>
      <c r="C52" s="62">
        <v>0.4</v>
      </c>
      <c r="D52" s="62" t="s">
        <v>164</v>
      </c>
      <c r="E52" s="55">
        <f>ROUND(E51*C52,2)</f>
        <v>33.71</v>
      </c>
      <c r="F52" s="124">
        <f t="shared" si="1"/>
        <v>0</v>
      </c>
      <c r="G52" s="53"/>
      <c r="H52" s="149"/>
      <c r="I52" s="124">
        <f t="shared" si="2"/>
        <v>0</v>
      </c>
      <c r="J52" s="53">
        <f t="shared" si="3"/>
        <v>0</v>
      </c>
      <c r="K52" s="149">
        <f t="shared" si="4"/>
        <v>0</v>
      </c>
      <c r="L52" s="190" t="s">
        <v>134</v>
      </c>
    </row>
    <row r="53" spans="1:12" s="54" customFormat="1" x14ac:dyDescent="0.25">
      <c r="A53" s="189">
        <f t="shared" si="0"/>
        <v>37</v>
      </c>
      <c r="B53" s="61" t="s">
        <v>245</v>
      </c>
      <c r="C53" s="62">
        <v>0.45</v>
      </c>
      <c r="D53" s="62" t="s">
        <v>164</v>
      </c>
      <c r="E53" s="55">
        <f>ROUND(E51*C53,2)</f>
        <v>37.93</v>
      </c>
      <c r="F53" s="124">
        <f t="shared" si="1"/>
        <v>0</v>
      </c>
      <c r="G53" s="53"/>
      <c r="H53" s="149"/>
      <c r="I53" s="124">
        <f t="shared" si="2"/>
        <v>0</v>
      </c>
      <c r="J53" s="53">
        <f t="shared" si="3"/>
        <v>0</v>
      </c>
      <c r="K53" s="149">
        <f t="shared" si="4"/>
        <v>0</v>
      </c>
      <c r="L53" s="190" t="s">
        <v>134</v>
      </c>
    </row>
    <row r="54" spans="1:12" s="58" customFormat="1" x14ac:dyDescent="0.25">
      <c r="A54" s="185"/>
      <c r="B54" s="110" t="s">
        <v>179</v>
      </c>
      <c r="C54" s="98"/>
      <c r="D54" s="98"/>
      <c r="E54" s="110"/>
      <c r="F54" s="110"/>
      <c r="G54" s="157"/>
      <c r="H54" s="147"/>
      <c r="I54" s="110"/>
      <c r="J54" s="157"/>
      <c r="K54" s="147"/>
      <c r="L54" s="196"/>
    </row>
    <row r="55" spans="1:12" s="56" customFormat="1" x14ac:dyDescent="0.25">
      <c r="A55" s="191">
        <v>38</v>
      </c>
      <c r="B55" s="102" t="s">
        <v>256</v>
      </c>
      <c r="C55" s="106"/>
      <c r="D55" s="95" t="s">
        <v>88</v>
      </c>
      <c r="E55" s="105">
        <v>42.83</v>
      </c>
      <c r="F55" s="105">
        <f t="shared" si="1"/>
        <v>0</v>
      </c>
      <c r="G55" s="158"/>
      <c r="H55" s="148"/>
      <c r="I55" s="105">
        <f t="shared" si="2"/>
        <v>0</v>
      </c>
      <c r="J55" s="158">
        <f t="shared" si="3"/>
        <v>0</v>
      </c>
      <c r="K55" s="148">
        <f t="shared" si="4"/>
        <v>0</v>
      </c>
      <c r="L55" s="188"/>
    </row>
    <row r="56" spans="1:12" x14ac:dyDescent="0.25">
      <c r="A56" s="193">
        <f>A55+1</f>
        <v>39</v>
      </c>
      <c r="B56" s="61" t="s">
        <v>180</v>
      </c>
      <c r="C56" s="63">
        <v>1.1000000000000001</v>
      </c>
      <c r="D56" s="62" t="s">
        <v>88</v>
      </c>
      <c r="E56" s="55">
        <f>ROUND(E55*C56,2)</f>
        <v>47.11</v>
      </c>
      <c r="F56" s="124">
        <f t="shared" si="1"/>
        <v>0</v>
      </c>
      <c r="G56" s="53"/>
      <c r="H56" s="149"/>
      <c r="I56" s="124">
        <f t="shared" si="2"/>
        <v>0</v>
      </c>
      <c r="J56" s="53">
        <f t="shared" si="3"/>
        <v>0</v>
      </c>
      <c r="K56" s="149">
        <f t="shared" si="4"/>
        <v>0</v>
      </c>
      <c r="L56" s="190"/>
    </row>
    <row r="57" spans="1:12" s="56" customFormat="1" ht="31.5" x14ac:dyDescent="0.25">
      <c r="A57" s="191">
        <f>A56+1</f>
        <v>40</v>
      </c>
      <c r="B57" s="102" t="s">
        <v>176</v>
      </c>
      <c r="C57" s="106"/>
      <c r="D57" s="95" t="s">
        <v>88</v>
      </c>
      <c r="E57" s="105">
        <v>42.83</v>
      </c>
      <c r="F57" s="105">
        <f t="shared" si="1"/>
        <v>0</v>
      </c>
      <c r="G57" s="158"/>
      <c r="H57" s="148"/>
      <c r="I57" s="105">
        <f t="shared" si="2"/>
        <v>0</v>
      </c>
      <c r="J57" s="158">
        <f t="shared" si="3"/>
        <v>0</v>
      </c>
      <c r="K57" s="148">
        <f t="shared" si="4"/>
        <v>0</v>
      </c>
      <c r="L57" s="188"/>
    </row>
    <row r="58" spans="1:12" x14ac:dyDescent="0.25">
      <c r="A58" s="189">
        <f t="shared" si="0"/>
        <v>41</v>
      </c>
      <c r="B58" s="61" t="s">
        <v>241</v>
      </c>
      <c r="C58" s="63">
        <v>6</v>
      </c>
      <c r="D58" s="62" t="s">
        <v>161</v>
      </c>
      <c r="E58" s="55">
        <f>ROUND(E57*C58,2)</f>
        <v>256.98</v>
      </c>
      <c r="F58" s="124">
        <f t="shared" si="1"/>
        <v>0</v>
      </c>
      <c r="G58" s="53"/>
      <c r="H58" s="149"/>
      <c r="I58" s="124">
        <f t="shared" si="2"/>
        <v>0</v>
      </c>
      <c r="J58" s="53">
        <f t="shared" si="3"/>
        <v>0</v>
      </c>
      <c r="K58" s="149">
        <f t="shared" si="4"/>
        <v>0</v>
      </c>
      <c r="L58" s="190" t="s">
        <v>134</v>
      </c>
    </row>
    <row r="59" spans="1:12" x14ac:dyDescent="0.25">
      <c r="A59" s="189">
        <f t="shared" si="0"/>
        <v>42</v>
      </c>
      <c r="B59" s="61" t="s">
        <v>172</v>
      </c>
      <c r="C59" s="63">
        <v>1.1000000000000001</v>
      </c>
      <c r="D59" s="62" t="s">
        <v>88</v>
      </c>
      <c r="E59" s="55">
        <f>ROUND(E57*C59,2)</f>
        <v>47.11</v>
      </c>
      <c r="F59" s="124">
        <f t="shared" si="1"/>
        <v>0</v>
      </c>
      <c r="G59" s="53"/>
      <c r="H59" s="149"/>
      <c r="I59" s="124">
        <f t="shared" si="2"/>
        <v>0</v>
      </c>
      <c r="J59" s="53">
        <f t="shared" si="3"/>
        <v>0</v>
      </c>
      <c r="K59" s="149">
        <f t="shared" si="4"/>
        <v>0</v>
      </c>
      <c r="L59" s="190" t="s">
        <v>134</v>
      </c>
    </row>
    <row r="60" spans="1:12" s="56" customFormat="1" x14ac:dyDescent="0.25">
      <c r="A60" s="191">
        <f t="shared" si="0"/>
        <v>43</v>
      </c>
      <c r="B60" s="102" t="s">
        <v>163</v>
      </c>
      <c r="C60" s="106"/>
      <c r="D60" s="106" t="s">
        <v>88</v>
      </c>
      <c r="E60" s="105">
        <v>42.83</v>
      </c>
      <c r="F60" s="105">
        <f t="shared" si="1"/>
        <v>0</v>
      </c>
      <c r="G60" s="158"/>
      <c r="H60" s="148"/>
      <c r="I60" s="105">
        <f t="shared" si="2"/>
        <v>0</v>
      </c>
      <c r="J60" s="158">
        <f t="shared" si="3"/>
        <v>0</v>
      </c>
      <c r="K60" s="148">
        <f t="shared" si="4"/>
        <v>0</v>
      </c>
      <c r="L60" s="188"/>
    </row>
    <row r="61" spans="1:12" x14ac:dyDescent="0.25">
      <c r="A61" s="189">
        <f t="shared" si="0"/>
        <v>44</v>
      </c>
      <c r="B61" s="61" t="s">
        <v>243</v>
      </c>
      <c r="C61" s="63">
        <v>2</v>
      </c>
      <c r="D61" s="63" t="s">
        <v>161</v>
      </c>
      <c r="E61" s="55">
        <f>ROUND(E60*C61,2)</f>
        <v>85.66</v>
      </c>
      <c r="F61" s="124">
        <f t="shared" si="1"/>
        <v>0</v>
      </c>
      <c r="G61" s="53"/>
      <c r="H61" s="149"/>
      <c r="I61" s="124">
        <f t="shared" si="2"/>
        <v>0</v>
      </c>
      <c r="J61" s="53">
        <f t="shared" si="3"/>
        <v>0</v>
      </c>
      <c r="K61" s="149">
        <f t="shared" si="4"/>
        <v>0</v>
      </c>
      <c r="L61" s="190" t="s">
        <v>134</v>
      </c>
    </row>
    <row r="62" spans="1:12" s="56" customFormat="1" x14ac:dyDescent="0.25">
      <c r="A62" s="187">
        <f>A61+1</f>
        <v>45</v>
      </c>
      <c r="B62" s="102" t="s">
        <v>171</v>
      </c>
      <c r="C62" s="106"/>
      <c r="D62" s="106" t="s">
        <v>88</v>
      </c>
      <c r="E62" s="105">
        <v>42.83</v>
      </c>
      <c r="F62" s="105">
        <f t="shared" si="1"/>
        <v>0</v>
      </c>
      <c r="G62" s="158"/>
      <c r="H62" s="148"/>
      <c r="I62" s="105">
        <f t="shared" si="2"/>
        <v>0</v>
      </c>
      <c r="J62" s="158">
        <f t="shared" si="3"/>
        <v>0</v>
      </c>
      <c r="K62" s="148">
        <f t="shared" si="4"/>
        <v>0</v>
      </c>
      <c r="L62" s="188"/>
    </row>
    <row r="63" spans="1:12" s="54" customFormat="1" x14ac:dyDescent="0.25">
      <c r="A63" s="189">
        <f t="shared" si="0"/>
        <v>46</v>
      </c>
      <c r="B63" s="61" t="s">
        <v>195</v>
      </c>
      <c r="C63" s="62">
        <v>0.4</v>
      </c>
      <c r="D63" s="62" t="s">
        <v>164</v>
      </c>
      <c r="E63" s="55">
        <f>ROUND(E62*C63,2)</f>
        <v>17.13</v>
      </c>
      <c r="F63" s="124">
        <f t="shared" si="1"/>
        <v>0</v>
      </c>
      <c r="G63" s="53"/>
      <c r="H63" s="149"/>
      <c r="I63" s="124">
        <f t="shared" si="2"/>
        <v>0</v>
      </c>
      <c r="J63" s="53">
        <f t="shared" si="3"/>
        <v>0</v>
      </c>
      <c r="K63" s="149">
        <f t="shared" si="4"/>
        <v>0</v>
      </c>
      <c r="L63" s="190" t="s">
        <v>134</v>
      </c>
    </row>
    <row r="64" spans="1:12" s="54" customFormat="1" x14ac:dyDescent="0.25">
      <c r="A64" s="189">
        <f t="shared" si="0"/>
        <v>47</v>
      </c>
      <c r="B64" s="61" t="s">
        <v>245</v>
      </c>
      <c r="C64" s="62">
        <v>0.45</v>
      </c>
      <c r="D64" s="62" t="s">
        <v>164</v>
      </c>
      <c r="E64" s="55">
        <f>ROUND(E62*C64,2)</f>
        <v>19.27</v>
      </c>
      <c r="F64" s="124">
        <f t="shared" si="1"/>
        <v>0</v>
      </c>
      <c r="G64" s="53"/>
      <c r="H64" s="149"/>
      <c r="I64" s="124">
        <f t="shared" si="2"/>
        <v>0</v>
      </c>
      <c r="J64" s="53">
        <f t="shared" si="3"/>
        <v>0</v>
      </c>
      <c r="K64" s="149">
        <f t="shared" si="4"/>
        <v>0</v>
      </c>
      <c r="L64" s="190" t="s">
        <v>134</v>
      </c>
    </row>
    <row r="65" spans="1:13" s="58" customFormat="1" x14ac:dyDescent="0.25">
      <c r="A65" s="185"/>
      <c r="B65" s="110" t="s">
        <v>156</v>
      </c>
      <c r="C65" s="98"/>
      <c r="D65" s="98"/>
      <c r="E65" s="110"/>
      <c r="F65" s="110"/>
      <c r="G65" s="157"/>
      <c r="H65" s="147"/>
      <c r="I65" s="110"/>
      <c r="J65" s="157"/>
      <c r="K65" s="147"/>
      <c r="L65" s="196"/>
    </row>
    <row r="66" spans="1:13" s="56" customFormat="1" x14ac:dyDescent="0.25">
      <c r="A66" s="187" t="s">
        <v>271</v>
      </c>
      <c r="B66" s="102" t="s">
        <v>182</v>
      </c>
      <c r="C66" s="106"/>
      <c r="D66" s="106" t="s">
        <v>231</v>
      </c>
      <c r="E66" s="105">
        <f>145.58/0.2</f>
        <v>727.9</v>
      </c>
      <c r="F66" s="105">
        <f t="shared" si="1"/>
        <v>0</v>
      </c>
      <c r="G66" s="158"/>
      <c r="H66" s="148"/>
      <c r="I66" s="105">
        <f t="shared" si="2"/>
        <v>0</v>
      </c>
      <c r="J66" s="158">
        <f t="shared" si="3"/>
        <v>0</v>
      </c>
      <c r="K66" s="148">
        <f t="shared" si="4"/>
        <v>0</v>
      </c>
      <c r="L66" s="188"/>
    </row>
    <row r="67" spans="1:13" s="54" customFormat="1" x14ac:dyDescent="0.25">
      <c r="A67" s="189">
        <f t="shared" si="0"/>
        <v>49</v>
      </c>
      <c r="B67" s="61" t="s">
        <v>247</v>
      </c>
      <c r="C67" s="62">
        <v>0.3</v>
      </c>
      <c r="D67" s="62" t="s">
        <v>164</v>
      </c>
      <c r="E67" s="55">
        <f>ROUND(E66*0.2*C67,2)</f>
        <v>43.67</v>
      </c>
      <c r="F67" s="124">
        <f t="shared" si="1"/>
        <v>0</v>
      </c>
      <c r="G67" s="53"/>
      <c r="H67" s="149"/>
      <c r="I67" s="124">
        <f t="shared" si="2"/>
        <v>0</v>
      </c>
      <c r="J67" s="53">
        <f t="shared" si="3"/>
        <v>0</v>
      </c>
      <c r="K67" s="149">
        <f t="shared" si="4"/>
        <v>0</v>
      </c>
      <c r="L67" s="190" t="s">
        <v>134</v>
      </c>
    </row>
    <row r="68" spans="1:13" s="58" customFormat="1" x14ac:dyDescent="0.25">
      <c r="A68" s="185"/>
      <c r="B68" s="110" t="s">
        <v>183</v>
      </c>
      <c r="C68" s="98"/>
      <c r="D68" s="98"/>
      <c r="E68" s="110"/>
      <c r="F68" s="110"/>
      <c r="G68" s="157"/>
      <c r="H68" s="147"/>
      <c r="I68" s="110"/>
      <c r="J68" s="157"/>
      <c r="K68" s="147"/>
      <c r="L68" s="196"/>
    </row>
    <row r="69" spans="1:13" s="56" customFormat="1" ht="31.5" x14ac:dyDescent="0.25">
      <c r="A69" s="191">
        <v>50</v>
      </c>
      <c r="B69" s="102" t="s">
        <v>176</v>
      </c>
      <c r="C69" s="106"/>
      <c r="D69" s="95" t="s">
        <v>231</v>
      </c>
      <c r="E69" s="105">
        <f>48/0.12</f>
        <v>400</v>
      </c>
      <c r="F69" s="105">
        <f t="shared" si="1"/>
        <v>0</v>
      </c>
      <c r="G69" s="158"/>
      <c r="H69" s="148"/>
      <c r="I69" s="105">
        <f t="shared" si="2"/>
        <v>0</v>
      </c>
      <c r="J69" s="158">
        <f t="shared" si="3"/>
        <v>0</v>
      </c>
      <c r="K69" s="148">
        <f t="shared" si="4"/>
        <v>0</v>
      </c>
      <c r="L69" s="188"/>
      <c r="M69" s="56" t="s">
        <v>232</v>
      </c>
    </row>
    <row r="70" spans="1:13" x14ac:dyDescent="0.25">
      <c r="A70" s="189">
        <f t="shared" si="0"/>
        <v>51</v>
      </c>
      <c r="B70" s="61" t="s">
        <v>242</v>
      </c>
      <c r="C70" s="63">
        <f>6*0.12</f>
        <v>0.72</v>
      </c>
      <c r="D70" s="62" t="s">
        <v>161</v>
      </c>
      <c r="E70" s="55">
        <f>ROUND(E69*C70,2)</f>
        <v>288</v>
      </c>
      <c r="F70" s="124">
        <f t="shared" si="1"/>
        <v>0</v>
      </c>
      <c r="G70" s="53"/>
      <c r="H70" s="149"/>
      <c r="I70" s="124">
        <f t="shared" si="2"/>
        <v>0</v>
      </c>
      <c r="J70" s="53">
        <f t="shared" si="3"/>
        <v>0</v>
      </c>
      <c r="K70" s="149">
        <f t="shared" si="4"/>
        <v>0</v>
      </c>
      <c r="L70" s="190" t="s">
        <v>134</v>
      </c>
    </row>
    <row r="71" spans="1:13" x14ac:dyDescent="0.25">
      <c r="A71" s="189">
        <f t="shared" si="0"/>
        <v>52</v>
      </c>
      <c r="B71" s="61" t="s">
        <v>194</v>
      </c>
      <c r="C71" s="63">
        <f>1.1*0.12</f>
        <v>0.13200000000000001</v>
      </c>
      <c r="D71" s="62" t="s">
        <v>88</v>
      </c>
      <c r="E71" s="55">
        <f>ROUND(E69*C71,2)</f>
        <v>52.8</v>
      </c>
      <c r="F71" s="124">
        <f t="shared" si="1"/>
        <v>0</v>
      </c>
      <c r="G71" s="53"/>
      <c r="H71" s="149"/>
      <c r="I71" s="124">
        <f t="shared" si="2"/>
        <v>0</v>
      </c>
      <c r="J71" s="53">
        <f t="shared" si="3"/>
        <v>0</v>
      </c>
      <c r="K71" s="149">
        <f t="shared" si="4"/>
        <v>0</v>
      </c>
      <c r="L71" s="190" t="s">
        <v>134</v>
      </c>
    </row>
    <row r="72" spans="1:13" s="56" customFormat="1" x14ac:dyDescent="0.25">
      <c r="A72" s="187">
        <f t="shared" si="0"/>
        <v>53</v>
      </c>
      <c r="B72" s="102" t="s">
        <v>171</v>
      </c>
      <c r="C72" s="106"/>
      <c r="D72" s="95" t="s">
        <v>231</v>
      </c>
      <c r="E72" s="105">
        <f>48/0.12</f>
        <v>400</v>
      </c>
      <c r="F72" s="105">
        <f t="shared" si="1"/>
        <v>0</v>
      </c>
      <c r="G72" s="158"/>
      <c r="H72" s="148"/>
      <c r="I72" s="105">
        <f t="shared" si="2"/>
        <v>0</v>
      </c>
      <c r="J72" s="158">
        <f t="shared" si="3"/>
        <v>0</v>
      </c>
      <c r="K72" s="148">
        <f t="shared" si="4"/>
        <v>0</v>
      </c>
      <c r="L72" s="188"/>
    </row>
    <row r="73" spans="1:13" s="54" customFormat="1" x14ac:dyDescent="0.25">
      <c r="A73" s="189">
        <f t="shared" si="0"/>
        <v>54</v>
      </c>
      <c r="B73" s="61" t="s">
        <v>155</v>
      </c>
      <c r="C73" s="62">
        <f>0.4*0.12</f>
        <v>4.8000000000000001E-2</v>
      </c>
      <c r="D73" s="62" t="s">
        <v>164</v>
      </c>
      <c r="E73" s="55">
        <f>ROUND(E72*C73,2)</f>
        <v>19.2</v>
      </c>
      <c r="F73" s="124">
        <f t="shared" si="1"/>
        <v>0</v>
      </c>
      <c r="G73" s="53"/>
      <c r="H73" s="149"/>
      <c r="I73" s="124">
        <f t="shared" si="2"/>
        <v>0</v>
      </c>
      <c r="J73" s="53">
        <f t="shared" si="3"/>
        <v>0</v>
      </c>
      <c r="K73" s="149">
        <f t="shared" si="4"/>
        <v>0</v>
      </c>
      <c r="L73" s="190" t="s">
        <v>134</v>
      </c>
    </row>
    <row r="74" spans="1:13" s="54" customFormat="1" x14ac:dyDescent="0.25">
      <c r="A74" s="189">
        <f t="shared" si="0"/>
        <v>55</v>
      </c>
      <c r="B74" s="61" t="s">
        <v>245</v>
      </c>
      <c r="C74" s="62">
        <f>0.45*0.12</f>
        <v>5.3999999999999999E-2</v>
      </c>
      <c r="D74" s="62" t="s">
        <v>164</v>
      </c>
      <c r="E74" s="55">
        <f>ROUND(E72*C74,2)</f>
        <v>21.6</v>
      </c>
      <c r="F74" s="124">
        <f t="shared" si="1"/>
        <v>0</v>
      </c>
      <c r="G74" s="53"/>
      <c r="H74" s="149"/>
      <c r="I74" s="124">
        <f t="shared" si="2"/>
        <v>0</v>
      </c>
      <c r="J74" s="53">
        <f t="shared" si="3"/>
        <v>0</v>
      </c>
      <c r="K74" s="149">
        <f t="shared" si="4"/>
        <v>0</v>
      </c>
      <c r="L74" s="190" t="s">
        <v>134</v>
      </c>
    </row>
    <row r="75" spans="1:13" s="58" customFormat="1" x14ac:dyDescent="0.25">
      <c r="A75" s="181"/>
      <c r="B75" s="101" t="s">
        <v>199</v>
      </c>
      <c r="C75" s="101"/>
      <c r="D75" s="101"/>
      <c r="E75" s="108"/>
      <c r="F75" s="108"/>
      <c r="G75" s="155"/>
      <c r="H75" s="145"/>
      <c r="I75" s="108"/>
      <c r="J75" s="155"/>
      <c r="K75" s="145"/>
      <c r="L75" s="182"/>
      <c r="M75" s="56" t="s">
        <v>204</v>
      </c>
    </row>
    <row r="76" spans="1:13" s="58" customFormat="1" x14ac:dyDescent="0.25">
      <c r="A76" s="183"/>
      <c r="B76" s="96" t="s">
        <v>165</v>
      </c>
      <c r="C76" s="96"/>
      <c r="D76" s="96"/>
      <c r="E76" s="109"/>
      <c r="F76" s="109"/>
      <c r="G76" s="156"/>
      <c r="H76" s="146"/>
      <c r="I76" s="109"/>
      <c r="J76" s="156"/>
      <c r="K76" s="146"/>
      <c r="L76" s="184"/>
      <c r="M76" s="56" t="s">
        <v>168</v>
      </c>
    </row>
    <row r="77" spans="1:13" s="58" customFormat="1" x14ac:dyDescent="0.25">
      <c r="A77" s="185"/>
      <c r="B77" s="110" t="s">
        <v>154</v>
      </c>
      <c r="C77" s="97"/>
      <c r="D77" s="98"/>
      <c r="E77" s="110"/>
      <c r="F77" s="110"/>
      <c r="G77" s="157"/>
      <c r="H77" s="147"/>
      <c r="I77" s="110"/>
      <c r="J77" s="157"/>
      <c r="K77" s="147"/>
      <c r="L77" s="186"/>
    </row>
    <row r="78" spans="1:13" s="58" customFormat="1" x14ac:dyDescent="0.25">
      <c r="A78" s="187" t="s">
        <v>272</v>
      </c>
      <c r="B78" s="102" t="s">
        <v>175</v>
      </c>
      <c r="C78" s="95"/>
      <c r="D78" s="95" t="s">
        <v>88</v>
      </c>
      <c r="E78" s="104">
        <v>3.22</v>
      </c>
      <c r="F78" s="105">
        <f t="shared" ref="F78:F140" si="5">G78+H78</f>
        <v>0</v>
      </c>
      <c r="G78" s="158"/>
      <c r="H78" s="148"/>
      <c r="I78" s="105">
        <f t="shared" ref="I78:I140" si="6">J78+K78</f>
        <v>0</v>
      </c>
      <c r="J78" s="158">
        <f t="shared" ref="J78:J140" si="7">G78*E78</f>
        <v>0</v>
      </c>
      <c r="K78" s="148">
        <f t="shared" ref="K78:K140" si="8">H78*E78</f>
        <v>0</v>
      </c>
      <c r="L78" s="188"/>
    </row>
    <row r="79" spans="1:13" s="54" customFormat="1" x14ac:dyDescent="0.25">
      <c r="A79" s="189">
        <f t="shared" si="0"/>
        <v>57</v>
      </c>
      <c r="B79" s="61" t="s">
        <v>234</v>
      </c>
      <c r="C79" s="62">
        <f>5</f>
        <v>5</v>
      </c>
      <c r="D79" s="62" t="s">
        <v>161</v>
      </c>
      <c r="E79" s="55">
        <f>ROUND(E78*C79,2)</f>
        <v>16.100000000000001</v>
      </c>
      <c r="F79" s="124">
        <f t="shared" si="5"/>
        <v>0</v>
      </c>
      <c r="G79" s="53"/>
      <c r="H79" s="149"/>
      <c r="I79" s="124">
        <f t="shared" si="6"/>
        <v>0</v>
      </c>
      <c r="J79" s="53">
        <f t="shared" si="7"/>
        <v>0</v>
      </c>
      <c r="K79" s="149">
        <f t="shared" si="8"/>
        <v>0</v>
      </c>
      <c r="L79" s="190" t="s">
        <v>134</v>
      </c>
    </row>
    <row r="80" spans="1:13" x14ac:dyDescent="0.25">
      <c r="A80" s="189">
        <f t="shared" si="0"/>
        <v>58</v>
      </c>
      <c r="B80" s="61" t="s">
        <v>173</v>
      </c>
      <c r="C80" s="63">
        <v>2.2000000000000002</v>
      </c>
      <c r="D80" s="62" t="s">
        <v>88</v>
      </c>
      <c r="E80" s="55">
        <f>ROUND(E78*C80,2)</f>
        <v>7.08</v>
      </c>
      <c r="F80" s="124">
        <f t="shared" si="5"/>
        <v>0</v>
      </c>
      <c r="G80" s="53"/>
      <c r="H80" s="149"/>
      <c r="I80" s="124">
        <f t="shared" si="6"/>
        <v>0</v>
      </c>
      <c r="J80" s="53">
        <f t="shared" si="7"/>
        <v>0</v>
      </c>
      <c r="K80" s="149">
        <f t="shared" si="8"/>
        <v>0</v>
      </c>
      <c r="L80" s="190" t="s">
        <v>134</v>
      </c>
    </row>
    <row r="81" spans="1:12" s="58" customFormat="1" x14ac:dyDescent="0.25">
      <c r="A81" s="191">
        <f t="shared" ref="A81:A149" si="9">A80+1</f>
        <v>59</v>
      </c>
      <c r="B81" s="102" t="s">
        <v>174</v>
      </c>
      <c r="C81" s="95"/>
      <c r="D81" s="95" t="s">
        <v>88</v>
      </c>
      <c r="E81" s="104">
        <v>3.22</v>
      </c>
      <c r="F81" s="105">
        <f t="shared" si="5"/>
        <v>0</v>
      </c>
      <c r="G81" s="158"/>
      <c r="H81" s="148"/>
      <c r="I81" s="105">
        <f t="shared" si="6"/>
        <v>0</v>
      </c>
      <c r="J81" s="158">
        <f t="shared" si="7"/>
        <v>0</v>
      </c>
      <c r="K81" s="148">
        <f t="shared" si="8"/>
        <v>0</v>
      </c>
      <c r="L81" s="188"/>
    </row>
    <row r="82" spans="1:12" s="54" customFormat="1" x14ac:dyDescent="0.25">
      <c r="A82" s="189">
        <f t="shared" si="9"/>
        <v>60</v>
      </c>
      <c r="B82" s="61" t="s">
        <v>235</v>
      </c>
      <c r="C82" s="62">
        <f>(30/1000+60/1000)/2</f>
        <v>4.4999999999999998E-2</v>
      </c>
      <c r="D82" s="62" t="s">
        <v>161</v>
      </c>
      <c r="E82" s="55">
        <f>ROUND(E81*C82,2)</f>
        <v>0.14000000000000001</v>
      </c>
      <c r="F82" s="124">
        <f t="shared" si="5"/>
        <v>0</v>
      </c>
      <c r="G82" s="53"/>
      <c r="H82" s="149"/>
      <c r="I82" s="124">
        <f t="shared" si="6"/>
        <v>0</v>
      </c>
      <c r="J82" s="53">
        <f t="shared" si="7"/>
        <v>0</v>
      </c>
      <c r="K82" s="149">
        <f t="shared" si="8"/>
        <v>0</v>
      </c>
      <c r="L82" s="190" t="s">
        <v>134</v>
      </c>
    </row>
    <row r="83" spans="1:12" s="54" customFormat="1" x14ac:dyDescent="0.25">
      <c r="A83" s="189">
        <f t="shared" si="9"/>
        <v>61</v>
      </c>
      <c r="B83" s="61" t="s">
        <v>236</v>
      </c>
      <c r="C83" s="62">
        <v>4.2</v>
      </c>
      <c r="D83" s="62" t="s">
        <v>161</v>
      </c>
      <c r="E83" s="55">
        <f>ROUND(E81*C83,2)</f>
        <v>13.52</v>
      </c>
      <c r="F83" s="124">
        <f t="shared" si="5"/>
        <v>0</v>
      </c>
      <c r="G83" s="53"/>
      <c r="H83" s="149"/>
      <c r="I83" s="124">
        <f t="shared" si="6"/>
        <v>0</v>
      </c>
      <c r="J83" s="53">
        <f t="shared" si="7"/>
        <v>0</v>
      </c>
      <c r="K83" s="149">
        <f t="shared" si="8"/>
        <v>0</v>
      </c>
      <c r="L83" s="190" t="s">
        <v>134</v>
      </c>
    </row>
    <row r="84" spans="1:12" s="54" customFormat="1" x14ac:dyDescent="0.25">
      <c r="A84" s="189">
        <f t="shared" si="9"/>
        <v>62</v>
      </c>
      <c r="B84" s="61" t="s">
        <v>237</v>
      </c>
      <c r="C84" s="62">
        <v>0.3</v>
      </c>
      <c r="D84" s="62" t="s">
        <v>161</v>
      </c>
      <c r="E84" s="55">
        <f>ROUND(E81*C84,2)</f>
        <v>0.97</v>
      </c>
      <c r="F84" s="124">
        <f t="shared" si="5"/>
        <v>0</v>
      </c>
      <c r="G84" s="53"/>
      <c r="H84" s="149"/>
      <c r="I84" s="124">
        <f t="shared" si="6"/>
        <v>0</v>
      </c>
      <c r="J84" s="53">
        <f t="shared" si="7"/>
        <v>0</v>
      </c>
      <c r="K84" s="149">
        <f t="shared" si="8"/>
        <v>0</v>
      </c>
      <c r="L84" s="190" t="s">
        <v>134</v>
      </c>
    </row>
    <row r="85" spans="1:12" s="54" customFormat="1" ht="47.25" x14ac:dyDescent="0.25">
      <c r="A85" s="189">
        <f t="shared" si="9"/>
        <v>63</v>
      </c>
      <c r="B85" s="61" t="s">
        <v>238</v>
      </c>
      <c r="C85" s="62">
        <f>1.1</f>
        <v>1.1000000000000001</v>
      </c>
      <c r="D85" s="62" t="s">
        <v>88</v>
      </c>
      <c r="E85" s="55">
        <f>ROUND(E81*C85,2)</f>
        <v>3.54</v>
      </c>
      <c r="F85" s="124">
        <f t="shared" si="5"/>
        <v>0</v>
      </c>
      <c r="G85" s="53"/>
      <c r="H85" s="149"/>
      <c r="I85" s="124">
        <f t="shared" si="6"/>
        <v>0</v>
      </c>
      <c r="J85" s="53">
        <f t="shared" si="7"/>
        <v>0</v>
      </c>
      <c r="K85" s="149">
        <f t="shared" si="8"/>
        <v>0</v>
      </c>
      <c r="L85" s="192" t="s">
        <v>137</v>
      </c>
    </row>
    <row r="86" spans="1:12" s="58" customFormat="1" x14ac:dyDescent="0.25">
      <c r="A86" s="185"/>
      <c r="B86" s="110" t="s">
        <v>259</v>
      </c>
      <c r="C86" s="97"/>
      <c r="D86" s="98"/>
      <c r="E86" s="110"/>
      <c r="F86" s="110"/>
      <c r="G86" s="157"/>
      <c r="H86" s="147"/>
      <c r="I86" s="110"/>
      <c r="J86" s="157"/>
      <c r="K86" s="147"/>
      <c r="L86" s="186"/>
    </row>
    <row r="87" spans="1:12" s="58" customFormat="1" x14ac:dyDescent="0.25">
      <c r="A87" s="191">
        <v>64</v>
      </c>
      <c r="B87" s="102" t="s">
        <v>174</v>
      </c>
      <c r="C87" s="95"/>
      <c r="D87" s="95" t="s">
        <v>88</v>
      </c>
      <c r="E87" s="104">
        <v>47.27</v>
      </c>
      <c r="F87" s="105">
        <f t="shared" si="5"/>
        <v>0</v>
      </c>
      <c r="G87" s="158"/>
      <c r="H87" s="148"/>
      <c r="I87" s="105">
        <f t="shared" si="6"/>
        <v>0</v>
      </c>
      <c r="J87" s="158">
        <f t="shared" si="7"/>
        <v>0</v>
      </c>
      <c r="K87" s="148">
        <f t="shared" si="8"/>
        <v>0</v>
      </c>
      <c r="L87" s="188"/>
    </row>
    <row r="88" spans="1:12" s="54" customFormat="1" x14ac:dyDescent="0.25">
      <c r="A88" s="189">
        <f t="shared" si="9"/>
        <v>65</v>
      </c>
      <c r="B88" s="61" t="s">
        <v>235</v>
      </c>
      <c r="C88" s="62">
        <f>(30/1000+60/1000)/2</f>
        <v>4.4999999999999998E-2</v>
      </c>
      <c r="D88" s="62" t="s">
        <v>161</v>
      </c>
      <c r="E88" s="55">
        <f>ROUND(E87*C88,2)</f>
        <v>2.13</v>
      </c>
      <c r="F88" s="124">
        <f t="shared" si="5"/>
        <v>0</v>
      </c>
      <c r="G88" s="53"/>
      <c r="H88" s="149"/>
      <c r="I88" s="124">
        <f t="shared" si="6"/>
        <v>0</v>
      </c>
      <c r="J88" s="53">
        <f t="shared" si="7"/>
        <v>0</v>
      </c>
      <c r="K88" s="149">
        <f t="shared" si="8"/>
        <v>0</v>
      </c>
      <c r="L88" s="190" t="s">
        <v>134</v>
      </c>
    </row>
    <row r="89" spans="1:12" s="54" customFormat="1" x14ac:dyDescent="0.25">
      <c r="A89" s="189">
        <f t="shared" si="9"/>
        <v>66</v>
      </c>
      <c r="B89" s="61" t="s">
        <v>236</v>
      </c>
      <c r="C89" s="62">
        <v>4.2</v>
      </c>
      <c r="D89" s="62" t="s">
        <v>161</v>
      </c>
      <c r="E89" s="55">
        <f>ROUND(E87*C89,2)</f>
        <v>198.53</v>
      </c>
      <c r="F89" s="124">
        <f t="shared" si="5"/>
        <v>0</v>
      </c>
      <c r="G89" s="53"/>
      <c r="H89" s="149"/>
      <c r="I89" s="124">
        <f t="shared" si="6"/>
        <v>0</v>
      </c>
      <c r="J89" s="53">
        <f t="shared" si="7"/>
        <v>0</v>
      </c>
      <c r="K89" s="149">
        <f t="shared" si="8"/>
        <v>0</v>
      </c>
      <c r="L89" s="190" t="s">
        <v>134</v>
      </c>
    </row>
    <row r="90" spans="1:12" s="54" customFormat="1" x14ac:dyDescent="0.25">
      <c r="A90" s="189">
        <f t="shared" si="9"/>
        <v>67</v>
      </c>
      <c r="B90" s="61" t="s">
        <v>237</v>
      </c>
      <c r="C90" s="62">
        <v>0.3</v>
      </c>
      <c r="D90" s="62" t="s">
        <v>161</v>
      </c>
      <c r="E90" s="55">
        <f>ROUND(E87*C90,2)</f>
        <v>14.18</v>
      </c>
      <c r="F90" s="124">
        <f t="shared" si="5"/>
        <v>0</v>
      </c>
      <c r="G90" s="53"/>
      <c r="H90" s="149"/>
      <c r="I90" s="124">
        <f t="shared" si="6"/>
        <v>0</v>
      </c>
      <c r="J90" s="53">
        <f t="shared" si="7"/>
        <v>0</v>
      </c>
      <c r="K90" s="149">
        <f t="shared" si="8"/>
        <v>0</v>
      </c>
      <c r="L90" s="190" t="s">
        <v>134</v>
      </c>
    </row>
    <row r="91" spans="1:12" s="54" customFormat="1" ht="47.25" x14ac:dyDescent="0.25">
      <c r="A91" s="189">
        <f t="shared" si="9"/>
        <v>68</v>
      </c>
      <c r="B91" s="61" t="s">
        <v>238</v>
      </c>
      <c r="C91" s="62">
        <f>1.1</f>
        <v>1.1000000000000001</v>
      </c>
      <c r="D91" s="62" t="s">
        <v>88</v>
      </c>
      <c r="E91" s="55">
        <f>ROUND(E87*C91,2)</f>
        <v>52</v>
      </c>
      <c r="F91" s="124">
        <f t="shared" si="5"/>
        <v>0</v>
      </c>
      <c r="G91" s="53"/>
      <c r="H91" s="149"/>
      <c r="I91" s="124">
        <f t="shared" si="6"/>
        <v>0</v>
      </c>
      <c r="J91" s="53">
        <f t="shared" si="7"/>
        <v>0</v>
      </c>
      <c r="K91" s="149">
        <f t="shared" si="8"/>
        <v>0</v>
      </c>
      <c r="L91" s="192" t="s">
        <v>137</v>
      </c>
    </row>
    <row r="92" spans="1:12" s="58" customFormat="1" x14ac:dyDescent="0.25">
      <c r="A92" s="185"/>
      <c r="B92" s="110" t="s">
        <v>261</v>
      </c>
      <c r="C92" s="97"/>
      <c r="D92" s="98"/>
      <c r="E92" s="110"/>
      <c r="F92" s="110"/>
      <c r="G92" s="157"/>
      <c r="H92" s="147"/>
      <c r="I92" s="110"/>
      <c r="J92" s="157"/>
      <c r="K92" s="147"/>
      <c r="L92" s="186"/>
    </row>
    <row r="93" spans="1:12" s="56" customFormat="1" x14ac:dyDescent="0.25">
      <c r="A93" s="191">
        <v>69</v>
      </c>
      <c r="B93" s="102" t="s">
        <v>256</v>
      </c>
      <c r="C93" s="106"/>
      <c r="D93" s="95" t="s">
        <v>88</v>
      </c>
      <c r="E93" s="105">
        <v>0.26</v>
      </c>
      <c r="F93" s="105">
        <f t="shared" si="5"/>
        <v>0</v>
      </c>
      <c r="G93" s="158"/>
      <c r="H93" s="148"/>
      <c r="I93" s="105">
        <f t="shared" si="6"/>
        <v>0</v>
      </c>
      <c r="J93" s="158">
        <f t="shared" si="7"/>
        <v>0</v>
      </c>
      <c r="K93" s="148">
        <f t="shared" si="8"/>
        <v>0</v>
      </c>
      <c r="L93" s="188"/>
    </row>
    <row r="94" spans="1:12" x14ac:dyDescent="0.25">
      <c r="A94" s="193">
        <f>A93+1</f>
        <v>70</v>
      </c>
      <c r="B94" s="61" t="s">
        <v>180</v>
      </c>
      <c r="C94" s="63">
        <v>1.1000000000000001</v>
      </c>
      <c r="D94" s="62" t="s">
        <v>88</v>
      </c>
      <c r="E94" s="55">
        <f>ROUND(E93*C94,2)</f>
        <v>0.28999999999999998</v>
      </c>
      <c r="F94" s="124">
        <f t="shared" si="5"/>
        <v>0</v>
      </c>
      <c r="G94" s="53"/>
      <c r="H94" s="149"/>
      <c r="I94" s="124">
        <f t="shared" si="6"/>
        <v>0</v>
      </c>
      <c r="J94" s="53">
        <f t="shared" si="7"/>
        <v>0</v>
      </c>
      <c r="K94" s="149">
        <f t="shared" si="8"/>
        <v>0</v>
      </c>
      <c r="L94" s="190"/>
    </row>
    <row r="95" spans="1:12" s="58" customFormat="1" x14ac:dyDescent="0.25">
      <c r="A95" s="191">
        <f>A94+1</f>
        <v>71</v>
      </c>
      <c r="B95" s="102" t="s">
        <v>174</v>
      </c>
      <c r="C95" s="95"/>
      <c r="D95" s="95" t="s">
        <v>88</v>
      </c>
      <c r="E95" s="104">
        <v>0.26</v>
      </c>
      <c r="F95" s="105">
        <f t="shared" si="5"/>
        <v>0</v>
      </c>
      <c r="G95" s="158"/>
      <c r="H95" s="148"/>
      <c r="I95" s="105">
        <f t="shared" si="6"/>
        <v>0</v>
      </c>
      <c r="J95" s="158">
        <f t="shared" si="7"/>
        <v>0</v>
      </c>
      <c r="K95" s="148">
        <f t="shared" si="8"/>
        <v>0</v>
      </c>
      <c r="L95" s="188"/>
    </row>
    <row r="96" spans="1:12" s="54" customFormat="1" x14ac:dyDescent="0.25">
      <c r="A96" s="189">
        <f t="shared" si="9"/>
        <v>72</v>
      </c>
      <c r="B96" s="61" t="s">
        <v>236</v>
      </c>
      <c r="C96" s="62">
        <v>4.2</v>
      </c>
      <c r="D96" s="62" t="s">
        <v>161</v>
      </c>
      <c r="E96" s="55">
        <f>ROUND(E95*C96,2)</f>
        <v>1.0900000000000001</v>
      </c>
      <c r="F96" s="124">
        <f t="shared" si="5"/>
        <v>0</v>
      </c>
      <c r="G96" s="53"/>
      <c r="H96" s="149"/>
      <c r="I96" s="124">
        <f t="shared" si="6"/>
        <v>0</v>
      </c>
      <c r="J96" s="53">
        <f t="shared" si="7"/>
        <v>0</v>
      </c>
      <c r="K96" s="149">
        <f t="shared" si="8"/>
        <v>0</v>
      </c>
      <c r="L96" s="190" t="s">
        <v>134</v>
      </c>
    </row>
    <row r="97" spans="1:12" s="54" customFormat="1" x14ac:dyDescent="0.25">
      <c r="A97" s="189">
        <f t="shared" si="9"/>
        <v>73</v>
      </c>
      <c r="B97" s="61" t="s">
        <v>237</v>
      </c>
      <c r="C97" s="62">
        <v>0.3</v>
      </c>
      <c r="D97" s="62" t="s">
        <v>161</v>
      </c>
      <c r="E97" s="55">
        <f>ROUND(E95*C97,2)</f>
        <v>0.08</v>
      </c>
      <c r="F97" s="124">
        <f t="shared" si="5"/>
        <v>0</v>
      </c>
      <c r="G97" s="53"/>
      <c r="H97" s="149"/>
      <c r="I97" s="124">
        <f t="shared" si="6"/>
        <v>0</v>
      </c>
      <c r="J97" s="53">
        <f t="shared" si="7"/>
        <v>0</v>
      </c>
      <c r="K97" s="149">
        <f t="shared" si="8"/>
        <v>0</v>
      </c>
      <c r="L97" s="190" t="s">
        <v>134</v>
      </c>
    </row>
    <row r="98" spans="1:12" s="54" customFormat="1" ht="47.25" x14ac:dyDescent="0.25">
      <c r="A98" s="189">
        <f t="shared" si="9"/>
        <v>74</v>
      </c>
      <c r="B98" s="61" t="s">
        <v>238</v>
      </c>
      <c r="C98" s="62">
        <f>1.1</f>
        <v>1.1000000000000001</v>
      </c>
      <c r="D98" s="62" t="s">
        <v>88</v>
      </c>
      <c r="E98" s="55">
        <f>ROUND(E95*C98,2)</f>
        <v>0.28999999999999998</v>
      </c>
      <c r="F98" s="124">
        <f t="shared" si="5"/>
        <v>0</v>
      </c>
      <c r="G98" s="53"/>
      <c r="H98" s="149"/>
      <c r="I98" s="124">
        <f t="shared" si="6"/>
        <v>0</v>
      </c>
      <c r="J98" s="53">
        <f t="shared" si="7"/>
        <v>0</v>
      </c>
      <c r="K98" s="149">
        <f t="shared" si="8"/>
        <v>0</v>
      </c>
      <c r="L98" s="192" t="s">
        <v>137</v>
      </c>
    </row>
    <row r="99" spans="1:12" s="58" customFormat="1" x14ac:dyDescent="0.25">
      <c r="A99" s="194"/>
      <c r="B99" s="107" t="s">
        <v>177</v>
      </c>
      <c r="C99" s="107"/>
      <c r="D99" s="107"/>
      <c r="E99" s="107"/>
      <c r="F99" s="107"/>
      <c r="G99" s="159"/>
      <c r="H99" s="150"/>
      <c r="I99" s="107"/>
      <c r="J99" s="159"/>
      <c r="K99" s="150"/>
      <c r="L99" s="195"/>
    </row>
    <row r="100" spans="1:12" s="58" customFormat="1" x14ac:dyDescent="0.25">
      <c r="A100" s="185"/>
      <c r="B100" s="110" t="s">
        <v>166</v>
      </c>
      <c r="C100" s="98"/>
      <c r="D100" s="98"/>
      <c r="E100" s="110"/>
      <c r="F100" s="110"/>
      <c r="G100" s="157"/>
      <c r="H100" s="147"/>
      <c r="I100" s="110"/>
      <c r="J100" s="157"/>
      <c r="K100" s="147"/>
      <c r="L100" s="196"/>
    </row>
    <row r="101" spans="1:12" s="56" customFormat="1" x14ac:dyDescent="0.25">
      <c r="A101" s="191">
        <v>75</v>
      </c>
      <c r="B101" s="102" t="s">
        <v>162</v>
      </c>
      <c r="C101" s="106"/>
      <c r="D101" s="106" t="s">
        <v>88</v>
      </c>
      <c r="E101" s="105">
        <v>1275.99</v>
      </c>
      <c r="F101" s="105">
        <f t="shared" si="5"/>
        <v>0</v>
      </c>
      <c r="G101" s="158"/>
      <c r="H101" s="148"/>
      <c r="I101" s="105">
        <f t="shared" si="6"/>
        <v>0</v>
      </c>
      <c r="J101" s="158">
        <f t="shared" si="7"/>
        <v>0</v>
      </c>
      <c r="K101" s="148">
        <f t="shared" si="8"/>
        <v>0</v>
      </c>
      <c r="L101" s="188"/>
    </row>
    <row r="102" spans="1:12" x14ac:dyDescent="0.25">
      <c r="A102" s="189">
        <f t="shared" si="9"/>
        <v>76</v>
      </c>
      <c r="B102" s="61" t="s">
        <v>239</v>
      </c>
      <c r="C102" s="63">
        <v>6</v>
      </c>
      <c r="D102" s="63" t="s">
        <v>161</v>
      </c>
      <c r="E102" s="55">
        <f>ROUND(E101*C102,2)</f>
        <v>7655.94</v>
      </c>
      <c r="F102" s="124">
        <f t="shared" si="5"/>
        <v>0</v>
      </c>
      <c r="G102" s="53"/>
      <c r="H102" s="149"/>
      <c r="I102" s="124">
        <f t="shared" si="6"/>
        <v>0</v>
      </c>
      <c r="J102" s="53">
        <f t="shared" si="7"/>
        <v>0</v>
      </c>
      <c r="K102" s="149">
        <f t="shared" si="8"/>
        <v>0</v>
      </c>
      <c r="L102" s="190" t="s">
        <v>134</v>
      </c>
    </row>
    <row r="103" spans="1:12" s="58" customFormat="1" x14ac:dyDescent="0.25">
      <c r="A103" s="191">
        <f t="shared" si="9"/>
        <v>77</v>
      </c>
      <c r="B103" s="102" t="s">
        <v>167</v>
      </c>
      <c r="C103" s="95"/>
      <c r="D103" s="95" t="s">
        <v>88</v>
      </c>
      <c r="E103" s="105">
        <f>127.52/0.1</f>
        <v>1275.2</v>
      </c>
      <c r="F103" s="105">
        <f t="shared" si="5"/>
        <v>0</v>
      </c>
      <c r="G103" s="158"/>
      <c r="H103" s="148"/>
      <c r="I103" s="105">
        <f t="shared" si="6"/>
        <v>0</v>
      </c>
      <c r="J103" s="158">
        <f t="shared" si="7"/>
        <v>0</v>
      </c>
      <c r="K103" s="148">
        <f t="shared" si="8"/>
        <v>0</v>
      </c>
      <c r="L103" s="188"/>
    </row>
    <row r="104" spans="1:12" s="54" customFormat="1" x14ac:dyDescent="0.25">
      <c r="A104" s="189">
        <f t="shared" si="9"/>
        <v>78</v>
      </c>
      <c r="B104" s="61" t="s">
        <v>160</v>
      </c>
      <c r="C104" s="59">
        <f>1.03*0.1</f>
        <v>0.10299999999999999</v>
      </c>
      <c r="D104" s="60" t="s">
        <v>159</v>
      </c>
      <c r="E104" s="55">
        <f>ROUND(E103*C104,2)</f>
        <v>131.35</v>
      </c>
      <c r="F104" s="124">
        <f t="shared" si="5"/>
        <v>0</v>
      </c>
      <c r="G104" s="53"/>
      <c r="H104" s="149"/>
      <c r="I104" s="124">
        <f t="shared" si="6"/>
        <v>0</v>
      </c>
      <c r="J104" s="53">
        <f t="shared" si="7"/>
        <v>0</v>
      </c>
      <c r="K104" s="149">
        <f t="shared" si="8"/>
        <v>0</v>
      </c>
      <c r="L104" s="192" t="s">
        <v>137</v>
      </c>
    </row>
    <row r="105" spans="1:12" s="56" customFormat="1" ht="31.5" x14ac:dyDescent="0.25">
      <c r="A105" s="191">
        <f t="shared" si="9"/>
        <v>79</v>
      </c>
      <c r="B105" s="102" t="s">
        <v>176</v>
      </c>
      <c r="C105" s="106"/>
      <c r="D105" s="95" t="s">
        <v>88</v>
      </c>
      <c r="E105" s="105">
        <v>1273.22</v>
      </c>
      <c r="F105" s="105">
        <f t="shared" si="5"/>
        <v>0</v>
      </c>
      <c r="G105" s="158"/>
      <c r="H105" s="148"/>
      <c r="I105" s="105">
        <f t="shared" si="6"/>
        <v>0</v>
      </c>
      <c r="J105" s="158">
        <f t="shared" si="7"/>
        <v>0</v>
      </c>
      <c r="K105" s="148">
        <f t="shared" si="8"/>
        <v>0</v>
      </c>
      <c r="L105" s="188"/>
    </row>
    <row r="106" spans="1:12" x14ac:dyDescent="0.25">
      <c r="A106" s="189">
        <f t="shared" si="9"/>
        <v>80</v>
      </c>
      <c r="B106" s="61" t="s">
        <v>240</v>
      </c>
      <c r="C106" s="63">
        <v>6</v>
      </c>
      <c r="D106" s="62" t="s">
        <v>161</v>
      </c>
      <c r="E106" s="55">
        <f>ROUND(E105*C106,2)</f>
        <v>7639.32</v>
      </c>
      <c r="F106" s="124">
        <f t="shared" si="5"/>
        <v>0</v>
      </c>
      <c r="G106" s="53"/>
      <c r="H106" s="149"/>
      <c r="I106" s="124">
        <f t="shared" si="6"/>
        <v>0</v>
      </c>
      <c r="J106" s="53">
        <f t="shared" si="7"/>
        <v>0</v>
      </c>
      <c r="K106" s="149">
        <f t="shared" si="8"/>
        <v>0</v>
      </c>
      <c r="L106" s="190" t="s">
        <v>134</v>
      </c>
    </row>
    <row r="107" spans="1:12" x14ac:dyDescent="0.25">
      <c r="A107" s="189">
        <f t="shared" si="9"/>
        <v>81</v>
      </c>
      <c r="B107" s="61" t="s">
        <v>172</v>
      </c>
      <c r="C107" s="63">
        <v>1.1000000000000001</v>
      </c>
      <c r="D107" s="62" t="s">
        <v>88</v>
      </c>
      <c r="E107" s="55">
        <f>ROUND(E105*C107,2)</f>
        <v>1400.54</v>
      </c>
      <c r="F107" s="124">
        <f t="shared" si="5"/>
        <v>0</v>
      </c>
      <c r="G107" s="53"/>
      <c r="H107" s="149"/>
      <c r="I107" s="124">
        <f t="shared" si="6"/>
        <v>0</v>
      </c>
      <c r="J107" s="53">
        <f t="shared" si="7"/>
        <v>0</v>
      </c>
      <c r="K107" s="149">
        <f t="shared" si="8"/>
        <v>0</v>
      </c>
      <c r="L107" s="190" t="s">
        <v>134</v>
      </c>
    </row>
    <row r="108" spans="1:12" s="56" customFormat="1" x14ac:dyDescent="0.25">
      <c r="A108" s="191">
        <f t="shared" si="9"/>
        <v>82</v>
      </c>
      <c r="B108" s="102" t="s">
        <v>163</v>
      </c>
      <c r="C108" s="106"/>
      <c r="D108" s="106" t="s">
        <v>88</v>
      </c>
      <c r="E108" s="105">
        <v>1272.95</v>
      </c>
      <c r="F108" s="105">
        <f t="shared" si="5"/>
        <v>0</v>
      </c>
      <c r="G108" s="158"/>
      <c r="H108" s="148"/>
      <c r="I108" s="105">
        <f t="shared" si="6"/>
        <v>0</v>
      </c>
      <c r="J108" s="158">
        <f t="shared" si="7"/>
        <v>0</v>
      </c>
      <c r="K108" s="148">
        <f t="shared" si="8"/>
        <v>0</v>
      </c>
      <c r="L108" s="188"/>
    </row>
    <row r="109" spans="1:12" x14ac:dyDescent="0.25">
      <c r="A109" s="189">
        <f t="shared" si="9"/>
        <v>83</v>
      </c>
      <c r="B109" s="61" t="s">
        <v>243</v>
      </c>
      <c r="C109" s="63">
        <v>2</v>
      </c>
      <c r="D109" s="63" t="s">
        <v>161</v>
      </c>
      <c r="E109" s="55">
        <f>ROUND(E108*C109,2)</f>
        <v>2545.9</v>
      </c>
      <c r="F109" s="124">
        <f t="shared" si="5"/>
        <v>0</v>
      </c>
      <c r="G109" s="53"/>
      <c r="H109" s="149"/>
      <c r="I109" s="124">
        <f t="shared" si="6"/>
        <v>0</v>
      </c>
      <c r="J109" s="53">
        <f t="shared" si="7"/>
        <v>0</v>
      </c>
      <c r="K109" s="149">
        <f t="shared" si="8"/>
        <v>0</v>
      </c>
      <c r="L109" s="190" t="s">
        <v>134</v>
      </c>
    </row>
    <row r="110" spans="1:12" s="56" customFormat="1" x14ac:dyDescent="0.25">
      <c r="A110" s="191">
        <f>A109+1</f>
        <v>84</v>
      </c>
      <c r="B110" s="102" t="s">
        <v>254</v>
      </c>
      <c r="C110" s="106"/>
      <c r="D110" s="106" t="s">
        <v>88</v>
      </c>
      <c r="E110" s="105">
        <v>1276.23</v>
      </c>
      <c r="F110" s="105">
        <f t="shared" si="5"/>
        <v>0</v>
      </c>
      <c r="G110" s="158"/>
      <c r="H110" s="148"/>
      <c r="I110" s="105">
        <f t="shared" si="6"/>
        <v>0</v>
      </c>
      <c r="J110" s="158">
        <f t="shared" si="7"/>
        <v>0</v>
      </c>
      <c r="K110" s="148">
        <f t="shared" si="8"/>
        <v>0</v>
      </c>
      <c r="L110" s="188"/>
    </row>
    <row r="111" spans="1:12" s="54" customFormat="1" x14ac:dyDescent="0.25">
      <c r="A111" s="193">
        <f>A110+1</f>
        <v>85</v>
      </c>
      <c r="B111" s="61" t="s">
        <v>195</v>
      </c>
      <c r="C111" s="62">
        <v>0.4</v>
      </c>
      <c r="D111" s="62" t="s">
        <v>164</v>
      </c>
      <c r="E111" s="55">
        <f>ROUND(E110*C111,2)</f>
        <v>510.49</v>
      </c>
      <c r="F111" s="124">
        <f t="shared" si="5"/>
        <v>0</v>
      </c>
      <c r="G111" s="53"/>
      <c r="H111" s="149"/>
      <c r="I111" s="124">
        <f t="shared" si="6"/>
        <v>0</v>
      </c>
      <c r="J111" s="53">
        <f t="shared" si="7"/>
        <v>0</v>
      </c>
      <c r="K111" s="149">
        <f t="shared" si="8"/>
        <v>0</v>
      </c>
      <c r="L111" s="190" t="s">
        <v>134</v>
      </c>
    </row>
    <row r="112" spans="1:12" s="56" customFormat="1" x14ac:dyDescent="0.25">
      <c r="A112" s="191">
        <f>A111+1</f>
        <v>86</v>
      </c>
      <c r="B112" s="102" t="s">
        <v>255</v>
      </c>
      <c r="C112" s="106"/>
      <c r="D112" s="106" t="s">
        <v>88</v>
      </c>
      <c r="E112" s="105">
        <v>1272.95</v>
      </c>
      <c r="F112" s="105">
        <f t="shared" si="5"/>
        <v>0</v>
      </c>
      <c r="G112" s="158"/>
      <c r="H112" s="148"/>
      <c r="I112" s="105">
        <f t="shared" si="6"/>
        <v>0</v>
      </c>
      <c r="J112" s="158">
        <f t="shared" si="7"/>
        <v>0</v>
      </c>
      <c r="K112" s="148">
        <f t="shared" si="8"/>
        <v>0</v>
      </c>
      <c r="L112" s="188"/>
    </row>
    <row r="113" spans="1:12" s="54" customFormat="1" x14ac:dyDescent="0.25">
      <c r="A113" s="193">
        <f>A112+1</f>
        <v>87</v>
      </c>
      <c r="B113" s="61" t="s">
        <v>245</v>
      </c>
      <c r="C113" s="62">
        <v>0.45</v>
      </c>
      <c r="D113" s="62" t="s">
        <v>164</v>
      </c>
      <c r="E113" s="55">
        <f>ROUND(E112*C113,2)</f>
        <v>572.83000000000004</v>
      </c>
      <c r="F113" s="124">
        <f t="shared" si="5"/>
        <v>0</v>
      </c>
      <c r="G113" s="53"/>
      <c r="H113" s="149"/>
      <c r="I113" s="124">
        <f t="shared" si="6"/>
        <v>0</v>
      </c>
      <c r="J113" s="53">
        <f t="shared" si="7"/>
        <v>0</v>
      </c>
      <c r="K113" s="149">
        <f t="shared" si="8"/>
        <v>0</v>
      </c>
      <c r="L113" s="190" t="s">
        <v>134</v>
      </c>
    </row>
    <row r="114" spans="1:12" s="56" customFormat="1" x14ac:dyDescent="0.25">
      <c r="A114" s="185"/>
      <c r="B114" s="110" t="s">
        <v>257</v>
      </c>
      <c r="C114" s="97"/>
      <c r="D114" s="98"/>
      <c r="E114" s="99"/>
      <c r="F114" s="99"/>
      <c r="G114" s="160"/>
      <c r="H114" s="151"/>
      <c r="I114" s="99"/>
      <c r="J114" s="160"/>
      <c r="K114" s="151"/>
      <c r="L114" s="197"/>
    </row>
    <row r="115" spans="1:12" s="56" customFormat="1" x14ac:dyDescent="0.25">
      <c r="A115" s="191">
        <v>88</v>
      </c>
      <c r="B115" s="102" t="s">
        <v>258</v>
      </c>
      <c r="C115" s="106"/>
      <c r="D115" s="106" t="s">
        <v>88</v>
      </c>
      <c r="E115" s="105">
        <v>10.53</v>
      </c>
      <c r="F115" s="105">
        <f t="shared" si="5"/>
        <v>0</v>
      </c>
      <c r="G115" s="158"/>
      <c r="H115" s="148"/>
      <c r="I115" s="105">
        <f t="shared" si="6"/>
        <v>0</v>
      </c>
      <c r="J115" s="158">
        <f t="shared" si="7"/>
        <v>0</v>
      </c>
      <c r="K115" s="148">
        <f t="shared" si="8"/>
        <v>0</v>
      </c>
      <c r="L115" s="188"/>
    </row>
    <row r="116" spans="1:12" x14ac:dyDescent="0.25">
      <c r="A116" s="189">
        <f t="shared" si="9"/>
        <v>89</v>
      </c>
      <c r="B116" s="61" t="s">
        <v>246</v>
      </c>
      <c r="C116" s="63">
        <f>1.2*5</f>
        <v>6</v>
      </c>
      <c r="D116" s="63" t="s">
        <v>161</v>
      </c>
      <c r="E116" s="55">
        <f>ROUND(E115*C116,2)</f>
        <v>63.18</v>
      </c>
      <c r="F116" s="124">
        <f t="shared" si="5"/>
        <v>0</v>
      </c>
      <c r="G116" s="53"/>
      <c r="H116" s="149"/>
      <c r="I116" s="124">
        <f t="shared" si="6"/>
        <v>0</v>
      </c>
      <c r="J116" s="53">
        <f t="shared" si="7"/>
        <v>0</v>
      </c>
      <c r="K116" s="149">
        <f t="shared" si="8"/>
        <v>0</v>
      </c>
      <c r="L116" s="190" t="s">
        <v>134</v>
      </c>
    </row>
    <row r="117" spans="1:12" s="56" customFormat="1" x14ac:dyDescent="0.25">
      <c r="A117" s="187">
        <f t="shared" si="9"/>
        <v>90</v>
      </c>
      <c r="B117" s="102" t="s">
        <v>171</v>
      </c>
      <c r="C117" s="106"/>
      <c r="D117" s="106" t="s">
        <v>88</v>
      </c>
      <c r="E117" s="105">
        <v>10.53</v>
      </c>
      <c r="F117" s="105">
        <f t="shared" si="5"/>
        <v>0</v>
      </c>
      <c r="G117" s="158"/>
      <c r="H117" s="148"/>
      <c r="I117" s="105">
        <f t="shared" si="6"/>
        <v>0</v>
      </c>
      <c r="J117" s="158">
        <f t="shared" si="7"/>
        <v>0</v>
      </c>
      <c r="K117" s="148">
        <f t="shared" si="8"/>
        <v>0</v>
      </c>
      <c r="L117" s="188"/>
    </row>
    <row r="118" spans="1:12" s="54" customFormat="1" x14ac:dyDescent="0.25">
      <c r="A118" s="189">
        <f t="shared" si="9"/>
        <v>91</v>
      </c>
      <c r="B118" s="61" t="s">
        <v>195</v>
      </c>
      <c r="C118" s="62">
        <v>0.4</v>
      </c>
      <c r="D118" s="62" t="s">
        <v>164</v>
      </c>
      <c r="E118" s="55">
        <f>ROUND(E117*C118,2)</f>
        <v>4.21</v>
      </c>
      <c r="F118" s="124">
        <f t="shared" si="5"/>
        <v>0</v>
      </c>
      <c r="G118" s="53"/>
      <c r="H118" s="149"/>
      <c r="I118" s="124">
        <f t="shared" si="6"/>
        <v>0</v>
      </c>
      <c r="J118" s="53">
        <f t="shared" si="7"/>
        <v>0</v>
      </c>
      <c r="K118" s="149">
        <f t="shared" si="8"/>
        <v>0</v>
      </c>
      <c r="L118" s="190" t="s">
        <v>134</v>
      </c>
    </row>
    <row r="119" spans="1:12" s="54" customFormat="1" x14ac:dyDescent="0.25">
      <c r="A119" s="189">
        <f t="shared" si="9"/>
        <v>92</v>
      </c>
      <c r="B119" s="61" t="s">
        <v>245</v>
      </c>
      <c r="C119" s="62">
        <v>0.45</v>
      </c>
      <c r="D119" s="62" t="s">
        <v>164</v>
      </c>
      <c r="E119" s="55">
        <f>ROUND(E117*C119,2)</f>
        <v>4.74</v>
      </c>
      <c r="F119" s="124">
        <f t="shared" si="5"/>
        <v>0</v>
      </c>
      <c r="G119" s="53"/>
      <c r="H119" s="149"/>
      <c r="I119" s="124">
        <f t="shared" si="6"/>
        <v>0</v>
      </c>
      <c r="J119" s="53">
        <f t="shared" si="7"/>
        <v>0</v>
      </c>
      <c r="K119" s="149">
        <f t="shared" si="8"/>
        <v>0</v>
      </c>
      <c r="L119" s="190" t="s">
        <v>134</v>
      </c>
    </row>
    <row r="120" spans="1:12" s="58" customFormat="1" x14ac:dyDescent="0.25">
      <c r="A120" s="185"/>
      <c r="B120" s="110" t="s">
        <v>260</v>
      </c>
      <c r="C120" s="98"/>
      <c r="D120" s="98"/>
      <c r="E120" s="110"/>
      <c r="F120" s="110"/>
      <c r="G120" s="157"/>
      <c r="H120" s="147"/>
      <c r="I120" s="110"/>
      <c r="J120" s="157"/>
      <c r="K120" s="147"/>
      <c r="L120" s="196"/>
    </row>
    <row r="121" spans="1:12" s="56" customFormat="1" x14ac:dyDescent="0.25">
      <c r="A121" s="191">
        <v>93</v>
      </c>
      <c r="B121" s="102" t="s">
        <v>256</v>
      </c>
      <c r="C121" s="106"/>
      <c r="D121" s="95" t="s">
        <v>88</v>
      </c>
      <c r="E121" s="105">
        <v>6.62</v>
      </c>
      <c r="F121" s="105">
        <f t="shared" si="5"/>
        <v>0</v>
      </c>
      <c r="G121" s="158"/>
      <c r="H121" s="148"/>
      <c r="I121" s="105">
        <f t="shared" si="6"/>
        <v>0</v>
      </c>
      <c r="J121" s="158">
        <f t="shared" si="7"/>
        <v>0</v>
      </c>
      <c r="K121" s="148">
        <f t="shared" si="8"/>
        <v>0</v>
      </c>
      <c r="L121" s="188"/>
    </row>
    <row r="122" spans="1:12" x14ac:dyDescent="0.25">
      <c r="A122" s="193">
        <f>A121+1</f>
        <v>94</v>
      </c>
      <c r="B122" s="61" t="s">
        <v>180</v>
      </c>
      <c r="C122" s="63">
        <v>1.1000000000000001</v>
      </c>
      <c r="D122" s="62" t="s">
        <v>88</v>
      </c>
      <c r="E122" s="55">
        <f>ROUND(E121*C122,2)</f>
        <v>7.28</v>
      </c>
      <c r="F122" s="124">
        <f t="shared" si="5"/>
        <v>0</v>
      </c>
      <c r="G122" s="53"/>
      <c r="H122" s="149"/>
      <c r="I122" s="124">
        <f t="shared" si="6"/>
        <v>0</v>
      </c>
      <c r="J122" s="53">
        <f t="shared" si="7"/>
        <v>0</v>
      </c>
      <c r="K122" s="149">
        <f t="shared" si="8"/>
        <v>0</v>
      </c>
      <c r="L122" s="190"/>
    </row>
    <row r="123" spans="1:12" s="56" customFormat="1" ht="31.5" x14ac:dyDescent="0.25">
      <c r="A123" s="191">
        <f>A122+1</f>
        <v>95</v>
      </c>
      <c r="B123" s="102" t="s">
        <v>176</v>
      </c>
      <c r="C123" s="106"/>
      <c r="D123" s="95" t="s">
        <v>88</v>
      </c>
      <c r="E123" s="105">
        <v>6.62</v>
      </c>
      <c r="F123" s="105">
        <f t="shared" si="5"/>
        <v>0</v>
      </c>
      <c r="G123" s="158"/>
      <c r="H123" s="148"/>
      <c r="I123" s="105">
        <f t="shared" si="6"/>
        <v>0</v>
      </c>
      <c r="J123" s="158">
        <f t="shared" si="7"/>
        <v>0</v>
      </c>
      <c r="K123" s="148">
        <f t="shared" si="8"/>
        <v>0</v>
      </c>
      <c r="L123" s="188"/>
    </row>
    <row r="124" spans="1:12" x14ac:dyDescent="0.25">
      <c r="A124" s="189">
        <f t="shared" si="9"/>
        <v>96</v>
      </c>
      <c r="B124" s="61" t="s">
        <v>241</v>
      </c>
      <c r="C124" s="63">
        <v>6</v>
      </c>
      <c r="D124" s="62" t="s">
        <v>161</v>
      </c>
      <c r="E124" s="55">
        <f>ROUND(E123*C124,2)</f>
        <v>39.72</v>
      </c>
      <c r="F124" s="124">
        <f t="shared" si="5"/>
        <v>0</v>
      </c>
      <c r="G124" s="53"/>
      <c r="H124" s="149"/>
      <c r="I124" s="124">
        <f t="shared" si="6"/>
        <v>0</v>
      </c>
      <c r="J124" s="53">
        <f t="shared" si="7"/>
        <v>0</v>
      </c>
      <c r="K124" s="149">
        <f t="shared" si="8"/>
        <v>0</v>
      </c>
      <c r="L124" s="190" t="s">
        <v>134</v>
      </c>
    </row>
    <row r="125" spans="1:12" x14ac:dyDescent="0.25">
      <c r="A125" s="189">
        <f t="shared" si="9"/>
        <v>97</v>
      </c>
      <c r="B125" s="61" t="s">
        <v>172</v>
      </c>
      <c r="C125" s="63">
        <v>1.1000000000000001</v>
      </c>
      <c r="D125" s="62" t="s">
        <v>88</v>
      </c>
      <c r="E125" s="55">
        <f>ROUND(E123*C125,2)</f>
        <v>7.28</v>
      </c>
      <c r="F125" s="124">
        <f t="shared" si="5"/>
        <v>0</v>
      </c>
      <c r="G125" s="53"/>
      <c r="H125" s="149"/>
      <c r="I125" s="124">
        <f t="shared" si="6"/>
        <v>0</v>
      </c>
      <c r="J125" s="53">
        <f t="shared" si="7"/>
        <v>0</v>
      </c>
      <c r="K125" s="149">
        <f t="shared" si="8"/>
        <v>0</v>
      </c>
      <c r="L125" s="190" t="s">
        <v>134</v>
      </c>
    </row>
    <row r="126" spans="1:12" s="56" customFormat="1" x14ac:dyDescent="0.25">
      <c r="A126" s="191">
        <f t="shared" si="9"/>
        <v>98</v>
      </c>
      <c r="B126" s="102" t="s">
        <v>163</v>
      </c>
      <c r="C126" s="106"/>
      <c r="D126" s="106" t="s">
        <v>88</v>
      </c>
      <c r="E126" s="105">
        <v>6.62</v>
      </c>
      <c r="F126" s="105">
        <f t="shared" si="5"/>
        <v>0</v>
      </c>
      <c r="G126" s="158"/>
      <c r="H126" s="148"/>
      <c r="I126" s="105">
        <f t="shared" si="6"/>
        <v>0</v>
      </c>
      <c r="J126" s="158">
        <f t="shared" si="7"/>
        <v>0</v>
      </c>
      <c r="K126" s="148">
        <f t="shared" si="8"/>
        <v>0</v>
      </c>
      <c r="L126" s="188"/>
    </row>
    <row r="127" spans="1:12" x14ac:dyDescent="0.25">
      <c r="A127" s="189">
        <f t="shared" si="9"/>
        <v>99</v>
      </c>
      <c r="B127" s="61" t="s">
        <v>243</v>
      </c>
      <c r="C127" s="63">
        <v>2</v>
      </c>
      <c r="D127" s="63" t="s">
        <v>161</v>
      </c>
      <c r="E127" s="55">
        <f>ROUND(E126*C127,2)</f>
        <v>13.24</v>
      </c>
      <c r="F127" s="124">
        <f t="shared" si="5"/>
        <v>0</v>
      </c>
      <c r="G127" s="53"/>
      <c r="H127" s="149"/>
      <c r="I127" s="124">
        <f t="shared" si="6"/>
        <v>0</v>
      </c>
      <c r="J127" s="53">
        <f t="shared" si="7"/>
        <v>0</v>
      </c>
      <c r="K127" s="149">
        <f t="shared" si="8"/>
        <v>0</v>
      </c>
      <c r="L127" s="190" t="s">
        <v>134</v>
      </c>
    </row>
    <row r="128" spans="1:12" s="56" customFormat="1" x14ac:dyDescent="0.25">
      <c r="A128" s="187">
        <f t="shared" si="9"/>
        <v>100</v>
      </c>
      <c r="B128" s="102" t="s">
        <v>171</v>
      </c>
      <c r="C128" s="106"/>
      <c r="D128" s="106" t="s">
        <v>88</v>
      </c>
      <c r="E128" s="105">
        <v>6.62</v>
      </c>
      <c r="F128" s="105">
        <f t="shared" si="5"/>
        <v>0</v>
      </c>
      <c r="G128" s="158"/>
      <c r="H128" s="148"/>
      <c r="I128" s="105">
        <f t="shared" si="6"/>
        <v>0</v>
      </c>
      <c r="J128" s="158">
        <f t="shared" si="7"/>
        <v>0</v>
      </c>
      <c r="K128" s="148">
        <f t="shared" si="8"/>
        <v>0</v>
      </c>
      <c r="L128" s="188"/>
    </row>
    <row r="129" spans="1:13" s="54" customFormat="1" x14ac:dyDescent="0.25">
      <c r="A129" s="189">
        <f t="shared" si="9"/>
        <v>101</v>
      </c>
      <c r="B129" s="61" t="s">
        <v>195</v>
      </c>
      <c r="C129" s="62">
        <v>0.4</v>
      </c>
      <c r="D129" s="62" t="s">
        <v>164</v>
      </c>
      <c r="E129" s="55">
        <f>ROUND(E128*C129,2)</f>
        <v>2.65</v>
      </c>
      <c r="F129" s="124">
        <f t="shared" si="5"/>
        <v>0</v>
      </c>
      <c r="G129" s="53"/>
      <c r="H129" s="149"/>
      <c r="I129" s="124">
        <f t="shared" si="6"/>
        <v>0</v>
      </c>
      <c r="J129" s="53">
        <f t="shared" si="7"/>
        <v>0</v>
      </c>
      <c r="K129" s="149">
        <f t="shared" si="8"/>
        <v>0</v>
      </c>
      <c r="L129" s="190" t="s">
        <v>134</v>
      </c>
    </row>
    <row r="130" spans="1:13" s="54" customFormat="1" x14ac:dyDescent="0.25">
      <c r="A130" s="189">
        <f t="shared" si="9"/>
        <v>102</v>
      </c>
      <c r="B130" s="61" t="s">
        <v>245</v>
      </c>
      <c r="C130" s="62">
        <v>0.45</v>
      </c>
      <c r="D130" s="62" t="s">
        <v>164</v>
      </c>
      <c r="E130" s="55">
        <f>ROUND(E128*C130,2)</f>
        <v>2.98</v>
      </c>
      <c r="F130" s="124">
        <f t="shared" si="5"/>
        <v>0</v>
      </c>
      <c r="G130" s="53"/>
      <c r="H130" s="149"/>
      <c r="I130" s="124">
        <f t="shared" si="6"/>
        <v>0</v>
      </c>
      <c r="J130" s="53">
        <f t="shared" si="7"/>
        <v>0</v>
      </c>
      <c r="K130" s="149">
        <f t="shared" si="8"/>
        <v>0</v>
      </c>
      <c r="L130" s="190" t="s">
        <v>134</v>
      </c>
    </row>
    <row r="131" spans="1:13" s="58" customFormat="1" x14ac:dyDescent="0.25">
      <c r="A131" s="185">
        <v>103</v>
      </c>
      <c r="B131" s="110" t="s">
        <v>156</v>
      </c>
      <c r="C131" s="98"/>
      <c r="D131" s="98"/>
      <c r="E131" s="110"/>
      <c r="F131" s="110"/>
      <c r="G131" s="157"/>
      <c r="H131" s="147"/>
      <c r="I131" s="110"/>
      <c r="J131" s="157"/>
      <c r="K131" s="147"/>
      <c r="L131" s="196"/>
    </row>
    <row r="132" spans="1:13" s="56" customFormat="1" x14ac:dyDescent="0.25">
      <c r="A132" s="187">
        <f t="shared" si="9"/>
        <v>104</v>
      </c>
      <c r="B132" s="102" t="s">
        <v>182</v>
      </c>
      <c r="C132" s="106"/>
      <c r="D132" s="106" t="s">
        <v>231</v>
      </c>
      <c r="E132" s="105">
        <f>144.93/0.2</f>
        <v>724.65</v>
      </c>
      <c r="F132" s="105">
        <f t="shared" si="5"/>
        <v>0</v>
      </c>
      <c r="G132" s="158"/>
      <c r="H132" s="148"/>
      <c r="I132" s="105">
        <f t="shared" si="6"/>
        <v>0</v>
      </c>
      <c r="J132" s="158">
        <f t="shared" si="7"/>
        <v>0</v>
      </c>
      <c r="K132" s="148">
        <f t="shared" si="8"/>
        <v>0</v>
      </c>
      <c r="L132" s="188"/>
    </row>
    <row r="133" spans="1:13" s="54" customFormat="1" x14ac:dyDescent="0.25">
      <c r="A133" s="189">
        <f t="shared" si="9"/>
        <v>105</v>
      </c>
      <c r="B133" s="61" t="s">
        <v>247</v>
      </c>
      <c r="C133" s="62">
        <v>0.3</v>
      </c>
      <c r="D133" s="62" t="s">
        <v>164</v>
      </c>
      <c r="E133" s="55">
        <f>ROUND(E132*0.2*C133,2)</f>
        <v>43.48</v>
      </c>
      <c r="F133" s="124">
        <f t="shared" si="5"/>
        <v>0</v>
      </c>
      <c r="G133" s="53"/>
      <c r="H133" s="149"/>
      <c r="I133" s="124">
        <f t="shared" si="6"/>
        <v>0</v>
      </c>
      <c r="J133" s="53">
        <f t="shared" si="7"/>
        <v>0</v>
      </c>
      <c r="K133" s="149">
        <f t="shared" si="8"/>
        <v>0</v>
      </c>
      <c r="L133" s="190" t="s">
        <v>134</v>
      </c>
    </row>
    <row r="134" spans="1:13" s="58" customFormat="1" x14ac:dyDescent="0.25">
      <c r="A134" s="185"/>
      <c r="B134" s="110" t="s">
        <v>183</v>
      </c>
      <c r="C134" s="98"/>
      <c r="D134" s="98"/>
      <c r="E134" s="110"/>
      <c r="F134" s="110"/>
      <c r="G134" s="157"/>
      <c r="H134" s="147"/>
      <c r="I134" s="110"/>
      <c r="J134" s="157"/>
      <c r="K134" s="147"/>
      <c r="L134" s="196"/>
    </row>
    <row r="135" spans="1:13" s="56" customFormat="1" ht="31.5" x14ac:dyDescent="0.25">
      <c r="A135" s="191">
        <v>106</v>
      </c>
      <c r="B135" s="102" t="s">
        <v>176</v>
      </c>
      <c r="C135" s="106"/>
      <c r="D135" s="95" t="s">
        <v>231</v>
      </c>
      <c r="E135" s="105">
        <f>ROUND(45.8/0.12,2)</f>
        <v>381.67</v>
      </c>
      <c r="F135" s="105">
        <f t="shared" si="5"/>
        <v>0</v>
      </c>
      <c r="G135" s="158"/>
      <c r="H135" s="148"/>
      <c r="I135" s="105">
        <f t="shared" si="6"/>
        <v>0</v>
      </c>
      <c r="J135" s="158">
        <f t="shared" si="7"/>
        <v>0</v>
      </c>
      <c r="K135" s="148">
        <f t="shared" si="8"/>
        <v>0</v>
      </c>
      <c r="L135" s="188"/>
      <c r="M135" s="56" t="s">
        <v>232</v>
      </c>
    </row>
    <row r="136" spans="1:13" x14ac:dyDescent="0.25">
      <c r="A136" s="189">
        <f t="shared" si="9"/>
        <v>107</v>
      </c>
      <c r="B136" s="61" t="s">
        <v>242</v>
      </c>
      <c r="C136" s="63">
        <f>6*0.12</f>
        <v>0.72</v>
      </c>
      <c r="D136" s="62" t="s">
        <v>161</v>
      </c>
      <c r="E136" s="55">
        <f>ROUND(E135*C136,2)</f>
        <v>274.8</v>
      </c>
      <c r="F136" s="124">
        <f t="shared" si="5"/>
        <v>0</v>
      </c>
      <c r="G136" s="53"/>
      <c r="H136" s="149"/>
      <c r="I136" s="124">
        <f t="shared" si="6"/>
        <v>0</v>
      </c>
      <c r="J136" s="53">
        <f t="shared" si="7"/>
        <v>0</v>
      </c>
      <c r="K136" s="149">
        <f t="shared" si="8"/>
        <v>0</v>
      </c>
      <c r="L136" s="190" t="s">
        <v>134</v>
      </c>
    </row>
    <row r="137" spans="1:13" x14ac:dyDescent="0.25">
      <c r="A137" s="189">
        <f t="shared" si="9"/>
        <v>108</v>
      </c>
      <c r="B137" s="61" t="s">
        <v>194</v>
      </c>
      <c r="C137" s="63">
        <f>1.1*0.12</f>
        <v>0.13200000000000001</v>
      </c>
      <c r="D137" s="62" t="s">
        <v>88</v>
      </c>
      <c r="E137" s="55">
        <f>ROUND(E135*C137,2)</f>
        <v>50.38</v>
      </c>
      <c r="F137" s="124">
        <f t="shared" si="5"/>
        <v>0</v>
      </c>
      <c r="G137" s="53"/>
      <c r="H137" s="149"/>
      <c r="I137" s="124">
        <f t="shared" si="6"/>
        <v>0</v>
      </c>
      <c r="J137" s="53">
        <f t="shared" si="7"/>
        <v>0</v>
      </c>
      <c r="K137" s="149">
        <f t="shared" si="8"/>
        <v>0</v>
      </c>
      <c r="L137" s="190" t="s">
        <v>134</v>
      </c>
    </row>
    <row r="138" spans="1:13" s="56" customFormat="1" x14ac:dyDescent="0.25">
      <c r="A138" s="187">
        <f t="shared" si="9"/>
        <v>109</v>
      </c>
      <c r="B138" s="102" t="s">
        <v>171</v>
      </c>
      <c r="C138" s="106"/>
      <c r="D138" s="95" t="s">
        <v>231</v>
      </c>
      <c r="E138" s="105">
        <f>ROUND(45.8/0.12,2)</f>
        <v>381.67</v>
      </c>
      <c r="F138" s="105">
        <f t="shared" si="5"/>
        <v>0</v>
      </c>
      <c r="G138" s="158"/>
      <c r="H138" s="148"/>
      <c r="I138" s="105">
        <f t="shared" si="6"/>
        <v>0</v>
      </c>
      <c r="J138" s="158">
        <f t="shared" si="7"/>
        <v>0</v>
      </c>
      <c r="K138" s="148">
        <f t="shared" si="8"/>
        <v>0</v>
      </c>
      <c r="L138" s="188"/>
    </row>
    <row r="139" spans="1:13" s="54" customFormat="1" x14ac:dyDescent="0.25">
      <c r="A139" s="189">
        <f t="shared" si="9"/>
        <v>110</v>
      </c>
      <c r="B139" s="61" t="s">
        <v>155</v>
      </c>
      <c r="C139" s="62">
        <f>0.4*0.12</f>
        <v>4.8000000000000001E-2</v>
      </c>
      <c r="D139" s="62" t="s">
        <v>164</v>
      </c>
      <c r="E139" s="55">
        <f>ROUND(E138*C139,2)</f>
        <v>18.32</v>
      </c>
      <c r="F139" s="124">
        <f t="shared" si="5"/>
        <v>0</v>
      </c>
      <c r="G139" s="53"/>
      <c r="H139" s="149"/>
      <c r="I139" s="124">
        <f t="shared" si="6"/>
        <v>0</v>
      </c>
      <c r="J139" s="53">
        <f t="shared" si="7"/>
        <v>0</v>
      </c>
      <c r="K139" s="149">
        <f t="shared" si="8"/>
        <v>0</v>
      </c>
      <c r="L139" s="190" t="s">
        <v>134</v>
      </c>
    </row>
    <row r="140" spans="1:13" s="54" customFormat="1" x14ac:dyDescent="0.25">
      <c r="A140" s="189">
        <f t="shared" si="9"/>
        <v>111</v>
      </c>
      <c r="B140" s="61" t="s">
        <v>245</v>
      </c>
      <c r="C140" s="62">
        <f>0.45*0.12</f>
        <v>5.3999999999999999E-2</v>
      </c>
      <c r="D140" s="62" t="s">
        <v>164</v>
      </c>
      <c r="E140" s="55">
        <f>ROUND(E138*C140,2)</f>
        <v>20.61</v>
      </c>
      <c r="F140" s="124">
        <f t="shared" si="5"/>
        <v>0</v>
      </c>
      <c r="G140" s="53"/>
      <c r="H140" s="149"/>
      <c r="I140" s="124">
        <f t="shared" si="6"/>
        <v>0</v>
      </c>
      <c r="J140" s="53">
        <f t="shared" si="7"/>
        <v>0</v>
      </c>
      <c r="K140" s="149">
        <f t="shared" si="8"/>
        <v>0</v>
      </c>
      <c r="L140" s="190" t="s">
        <v>134</v>
      </c>
    </row>
    <row r="141" spans="1:13" s="58" customFormat="1" x14ac:dyDescent="0.25">
      <c r="A141" s="181"/>
      <c r="B141" s="101" t="s">
        <v>200</v>
      </c>
      <c r="C141" s="101"/>
      <c r="D141" s="101"/>
      <c r="E141" s="108"/>
      <c r="F141" s="108"/>
      <c r="G141" s="155"/>
      <c r="H141" s="145"/>
      <c r="I141" s="108"/>
      <c r="J141" s="155"/>
      <c r="K141" s="145"/>
      <c r="L141" s="182"/>
      <c r="M141" s="56" t="s">
        <v>205</v>
      </c>
    </row>
    <row r="142" spans="1:13" s="58" customFormat="1" x14ac:dyDescent="0.25">
      <c r="A142" s="183"/>
      <c r="B142" s="96" t="s">
        <v>165</v>
      </c>
      <c r="C142" s="96"/>
      <c r="D142" s="96"/>
      <c r="E142" s="109"/>
      <c r="F142" s="109"/>
      <c r="G142" s="156"/>
      <c r="H142" s="146"/>
      <c r="I142" s="109"/>
      <c r="J142" s="156"/>
      <c r="K142" s="146"/>
      <c r="L142" s="184"/>
      <c r="M142" s="56" t="s">
        <v>168</v>
      </c>
    </row>
    <row r="143" spans="1:13" s="58" customFormat="1" x14ac:dyDescent="0.25">
      <c r="A143" s="185"/>
      <c r="B143" s="110" t="s">
        <v>154</v>
      </c>
      <c r="C143" s="97"/>
      <c r="D143" s="98"/>
      <c r="E143" s="110"/>
      <c r="F143" s="110"/>
      <c r="G143" s="157"/>
      <c r="H143" s="147"/>
      <c r="I143" s="110"/>
      <c r="J143" s="157"/>
      <c r="K143" s="147"/>
      <c r="L143" s="186"/>
    </row>
    <row r="144" spans="1:13" s="58" customFormat="1" x14ac:dyDescent="0.25">
      <c r="A144" s="187" t="s">
        <v>273</v>
      </c>
      <c r="B144" s="102" t="s">
        <v>175</v>
      </c>
      <c r="C144" s="95"/>
      <c r="D144" s="95" t="s">
        <v>88</v>
      </c>
      <c r="E144" s="104">
        <v>1.1000000000000001</v>
      </c>
      <c r="F144" s="105">
        <f t="shared" ref="F144:F204" si="10">G144+H144</f>
        <v>0</v>
      </c>
      <c r="G144" s="158"/>
      <c r="H144" s="148"/>
      <c r="I144" s="105">
        <f t="shared" ref="I144:I204" si="11">J144+K144</f>
        <v>0</v>
      </c>
      <c r="J144" s="158">
        <f t="shared" ref="J144:J204" si="12">G144*E144</f>
        <v>0</v>
      </c>
      <c r="K144" s="148">
        <f t="shared" ref="K144:K204" si="13">H144*E144</f>
        <v>0</v>
      </c>
      <c r="L144" s="188"/>
    </row>
    <row r="145" spans="1:12" s="54" customFormat="1" x14ac:dyDescent="0.25">
      <c r="A145" s="189">
        <f t="shared" si="9"/>
        <v>113</v>
      </c>
      <c r="B145" s="61" t="s">
        <v>234</v>
      </c>
      <c r="C145" s="62">
        <f>5</f>
        <v>5</v>
      </c>
      <c r="D145" s="62" t="s">
        <v>161</v>
      </c>
      <c r="E145" s="55">
        <f>ROUND(E144*C145,2)</f>
        <v>5.5</v>
      </c>
      <c r="F145" s="124">
        <f t="shared" si="10"/>
        <v>0</v>
      </c>
      <c r="G145" s="53"/>
      <c r="H145" s="149"/>
      <c r="I145" s="124">
        <f t="shared" si="11"/>
        <v>0</v>
      </c>
      <c r="J145" s="53">
        <f t="shared" si="12"/>
        <v>0</v>
      </c>
      <c r="K145" s="149">
        <f t="shared" si="13"/>
        <v>0</v>
      </c>
      <c r="L145" s="190" t="s">
        <v>134</v>
      </c>
    </row>
    <row r="146" spans="1:12" x14ac:dyDescent="0.25">
      <c r="A146" s="189">
        <f t="shared" si="9"/>
        <v>114</v>
      </c>
      <c r="B146" s="61" t="s">
        <v>173</v>
      </c>
      <c r="C146" s="63">
        <v>2.2000000000000002</v>
      </c>
      <c r="D146" s="62" t="s">
        <v>88</v>
      </c>
      <c r="E146" s="55">
        <f>ROUND(E144*C146,2)</f>
        <v>2.42</v>
      </c>
      <c r="F146" s="124">
        <f t="shared" si="10"/>
        <v>0</v>
      </c>
      <c r="G146" s="53"/>
      <c r="H146" s="149"/>
      <c r="I146" s="124">
        <f t="shared" si="11"/>
        <v>0</v>
      </c>
      <c r="J146" s="53">
        <f t="shared" si="12"/>
        <v>0</v>
      </c>
      <c r="K146" s="149">
        <f t="shared" si="13"/>
        <v>0</v>
      </c>
      <c r="L146" s="190" t="s">
        <v>134</v>
      </c>
    </row>
    <row r="147" spans="1:12" s="58" customFormat="1" x14ac:dyDescent="0.25">
      <c r="A147" s="191">
        <f t="shared" si="9"/>
        <v>115</v>
      </c>
      <c r="B147" s="102" t="s">
        <v>174</v>
      </c>
      <c r="C147" s="95"/>
      <c r="D147" s="95" t="s">
        <v>88</v>
      </c>
      <c r="E147" s="104">
        <v>1.1000000000000001</v>
      </c>
      <c r="F147" s="105">
        <f t="shared" si="10"/>
        <v>0</v>
      </c>
      <c r="G147" s="158"/>
      <c r="H147" s="148"/>
      <c r="I147" s="105">
        <f t="shared" si="11"/>
        <v>0</v>
      </c>
      <c r="J147" s="158">
        <f t="shared" si="12"/>
        <v>0</v>
      </c>
      <c r="K147" s="148">
        <f t="shared" si="13"/>
        <v>0</v>
      </c>
      <c r="L147" s="188"/>
    </row>
    <row r="148" spans="1:12" s="54" customFormat="1" x14ac:dyDescent="0.25">
      <c r="A148" s="189">
        <f t="shared" si="9"/>
        <v>116</v>
      </c>
      <c r="B148" s="61" t="s">
        <v>235</v>
      </c>
      <c r="C148" s="62">
        <f>(30/1000+60/1000)/2</f>
        <v>4.4999999999999998E-2</v>
      </c>
      <c r="D148" s="62" t="s">
        <v>161</v>
      </c>
      <c r="E148" s="55">
        <f>ROUND(E147*C148,2)</f>
        <v>0.05</v>
      </c>
      <c r="F148" s="124">
        <f t="shared" si="10"/>
        <v>0</v>
      </c>
      <c r="G148" s="53"/>
      <c r="H148" s="149"/>
      <c r="I148" s="124">
        <f t="shared" si="11"/>
        <v>0</v>
      </c>
      <c r="J148" s="53">
        <f t="shared" si="12"/>
        <v>0</v>
      </c>
      <c r="K148" s="149">
        <f t="shared" si="13"/>
        <v>0</v>
      </c>
      <c r="L148" s="190" t="s">
        <v>134</v>
      </c>
    </row>
    <row r="149" spans="1:12" s="54" customFormat="1" x14ac:dyDescent="0.25">
      <c r="A149" s="189">
        <f t="shared" si="9"/>
        <v>117</v>
      </c>
      <c r="B149" s="61" t="s">
        <v>236</v>
      </c>
      <c r="C149" s="62">
        <v>4.2</v>
      </c>
      <c r="D149" s="62" t="s">
        <v>161</v>
      </c>
      <c r="E149" s="55">
        <f>ROUND(E147*C149,2)</f>
        <v>4.62</v>
      </c>
      <c r="F149" s="124">
        <f t="shared" si="10"/>
        <v>0</v>
      </c>
      <c r="G149" s="53"/>
      <c r="H149" s="149"/>
      <c r="I149" s="124">
        <f t="shared" si="11"/>
        <v>0</v>
      </c>
      <c r="J149" s="53">
        <f t="shared" si="12"/>
        <v>0</v>
      </c>
      <c r="K149" s="149">
        <f t="shared" si="13"/>
        <v>0</v>
      </c>
      <c r="L149" s="190" t="s">
        <v>134</v>
      </c>
    </row>
    <row r="150" spans="1:12" s="54" customFormat="1" x14ac:dyDescent="0.25">
      <c r="A150" s="189">
        <f t="shared" ref="A150:A215" si="14">A149+1</f>
        <v>118</v>
      </c>
      <c r="B150" s="61" t="s">
        <v>237</v>
      </c>
      <c r="C150" s="62">
        <v>0.3</v>
      </c>
      <c r="D150" s="62" t="s">
        <v>161</v>
      </c>
      <c r="E150" s="55">
        <f>ROUND(E147*C150,2)</f>
        <v>0.33</v>
      </c>
      <c r="F150" s="124">
        <f t="shared" si="10"/>
        <v>0</v>
      </c>
      <c r="G150" s="53"/>
      <c r="H150" s="149"/>
      <c r="I150" s="124">
        <f t="shared" si="11"/>
        <v>0</v>
      </c>
      <c r="J150" s="53">
        <f t="shared" si="12"/>
        <v>0</v>
      </c>
      <c r="K150" s="149">
        <f t="shared" si="13"/>
        <v>0</v>
      </c>
      <c r="L150" s="190" t="s">
        <v>134</v>
      </c>
    </row>
    <row r="151" spans="1:12" s="54" customFormat="1" ht="47.25" x14ac:dyDescent="0.25">
      <c r="A151" s="189">
        <f t="shared" si="14"/>
        <v>119</v>
      </c>
      <c r="B151" s="61" t="s">
        <v>238</v>
      </c>
      <c r="C151" s="62">
        <f>1.1</f>
        <v>1.1000000000000001</v>
      </c>
      <c r="D151" s="62" t="s">
        <v>88</v>
      </c>
      <c r="E151" s="55">
        <f>ROUND(E147*C151,2)</f>
        <v>1.21</v>
      </c>
      <c r="F151" s="124">
        <f t="shared" si="10"/>
        <v>0</v>
      </c>
      <c r="G151" s="53"/>
      <c r="H151" s="149"/>
      <c r="I151" s="124">
        <f t="shared" si="11"/>
        <v>0</v>
      </c>
      <c r="J151" s="53">
        <f t="shared" si="12"/>
        <v>0</v>
      </c>
      <c r="K151" s="149">
        <f t="shared" si="13"/>
        <v>0</v>
      </c>
      <c r="L151" s="192" t="s">
        <v>137</v>
      </c>
    </row>
    <row r="152" spans="1:12" s="58" customFormat="1" x14ac:dyDescent="0.25">
      <c r="A152" s="185"/>
      <c r="B152" s="110" t="s">
        <v>259</v>
      </c>
      <c r="C152" s="97"/>
      <c r="D152" s="98"/>
      <c r="E152" s="110"/>
      <c r="F152" s="110"/>
      <c r="G152" s="157"/>
      <c r="H152" s="147"/>
      <c r="I152" s="110"/>
      <c r="J152" s="157"/>
      <c r="K152" s="147"/>
      <c r="L152" s="186"/>
    </row>
    <row r="153" spans="1:12" s="58" customFormat="1" x14ac:dyDescent="0.25">
      <c r="A153" s="191">
        <v>120</v>
      </c>
      <c r="B153" s="102" t="s">
        <v>174</v>
      </c>
      <c r="C153" s="95"/>
      <c r="D153" s="95" t="s">
        <v>88</v>
      </c>
      <c r="E153" s="104">
        <v>2.77</v>
      </c>
      <c r="F153" s="105">
        <f t="shared" si="10"/>
        <v>0</v>
      </c>
      <c r="G153" s="158"/>
      <c r="H153" s="148"/>
      <c r="I153" s="105">
        <f t="shared" si="11"/>
        <v>0</v>
      </c>
      <c r="J153" s="158">
        <f t="shared" si="12"/>
        <v>0</v>
      </c>
      <c r="K153" s="148">
        <f t="shared" si="13"/>
        <v>0</v>
      </c>
      <c r="L153" s="188"/>
    </row>
    <row r="154" spans="1:12" s="54" customFormat="1" x14ac:dyDescent="0.25">
      <c r="A154" s="189">
        <f t="shared" si="14"/>
        <v>121</v>
      </c>
      <c r="B154" s="61" t="s">
        <v>235</v>
      </c>
      <c r="C154" s="62">
        <f>(30/1000+60/1000)/2</f>
        <v>4.4999999999999998E-2</v>
      </c>
      <c r="D154" s="62" t="s">
        <v>161</v>
      </c>
      <c r="E154" s="55">
        <f>ROUND(E153*C154,2)</f>
        <v>0.12</v>
      </c>
      <c r="F154" s="124">
        <f t="shared" si="10"/>
        <v>0</v>
      </c>
      <c r="G154" s="53"/>
      <c r="H154" s="149"/>
      <c r="I154" s="124">
        <f t="shared" si="11"/>
        <v>0</v>
      </c>
      <c r="J154" s="53">
        <f t="shared" si="12"/>
        <v>0</v>
      </c>
      <c r="K154" s="149">
        <f t="shared" si="13"/>
        <v>0</v>
      </c>
      <c r="L154" s="190" t="s">
        <v>134</v>
      </c>
    </row>
    <row r="155" spans="1:12" s="54" customFormat="1" x14ac:dyDescent="0.25">
      <c r="A155" s="189">
        <f t="shared" si="14"/>
        <v>122</v>
      </c>
      <c r="B155" s="61" t="s">
        <v>236</v>
      </c>
      <c r="C155" s="62">
        <v>4.2</v>
      </c>
      <c r="D155" s="62" t="s">
        <v>161</v>
      </c>
      <c r="E155" s="55">
        <f>ROUND(E153*C155,2)</f>
        <v>11.63</v>
      </c>
      <c r="F155" s="124">
        <f t="shared" si="10"/>
        <v>0</v>
      </c>
      <c r="G155" s="53"/>
      <c r="H155" s="149"/>
      <c r="I155" s="124">
        <f t="shared" si="11"/>
        <v>0</v>
      </c>
      <c r="J155" s="53">
        <f t="shared" si="12"/>
        <v>0</v>
      </c>
      <c r="K155" s="149">
        <f t="shared" si="13"/>
        <v>0</v>
      </c>
      <c r="L155" s="190" t="s">
        <v>134</v>
      </c>
    </row>
    <row r="156" spans="1:12" s="54" customFormat="1" x14ac:dyDescent="0.25">
      <c r="A156" s="189">
        <f t="shared" si="14"/>
        <v>123</v>
      </c>
      <c r="B156" s="61" t="s">
        <v>237</v>
      </c>
      <c r="C156" s="62">
        <v>0.3</v>
      </c>
      <c r="D156" s="62" t="s">
        <v>161</v>
      </c>
      <c r="E156" s="55">
        <f>ROUND(E153*C156,2)</f>
        <v>0.83</v>
      </c>
      <c r="F156" s="124">
        <f t="shared" si="10"/>
        <v>0</v>
      </c>
      <c r="G156" s="53"/>
      <c r="H156" s="149"/>
      <c r="I156" s="124">
        <f t="shared" si="11"/>
        <v>0</v>
      </c>
      <c r="J156" s="53">
        <f t="shared" si="12"/>
        <v>0</v>
      </c>
      <c r="K156" s="149">
        <f t="shared" si="13"/>
        <v>0</v>
      </c>
      <c r="L156" s="190" t="s">
        <v>134</v>
      </c>
    </row>
    <row r="157" spans="1:12" s="54" customFormat="1" ht="47.25" x14ac:dyDescent="0.25">
      <c r="A157" s="189">
        <f t="shared" si="14"/>
        <v>124</v>
      </c>
      <c r="B157" s="61" t="s">
        <v>238</v>
      </c>
      <c r="C157" s="62">
        <f>1.1</f>
        <v>1.1000000000000001</v>
      </c>
      <c r="D157" s="62" t="s">
        <v>88</v>
      </c>
      <c r="E157" s="55">
        <f>ROUND(E153*C157,2)</f>
        <v>3.05</v>
      </c>
      <c r="F157" s="124">
        <f t="shared" si="10"/>
        <v>0</v>
      </c>
      <c r="G157" s="53"/>
      <c r="H157" s="149"/>
      <c r="I157" s="124">
        <f t="shared" si="11"/>
        <v>0</v>
      </c>
      <c r="J157" s="53">
        <f t="shared" si="12"/>
        <v>0</v>
      </c>
      <c r="K157" s="149">
        <f t="shared" si="13"/>
        <v>0</v>
      </c>
      <c r="L157" s="192" t="s">
        <v>137</v>
      </c>
    </row>
    <row r="158" spans="1:12" s="58" customFormat="1" x14ac:dyDescent="0.25">
      <c r="A158" s="185"/>
      <c r="B158" s="110" t="s">
        <v>261</v>
      </c>
      <c r="C158" s="97"/>
      <c r="D158" s="98"/>
      <c r="E158" s="110"/>
      <c r="F158" s="110"/>
      <c r="G158" s="110"/>
      <c r="H158" s="110"/>
      <c r="I158" s="110"/>
      <c r="J158" s="110"/>
      <c r="K158" s="110"/>
      <c r="L158" s="186"/>
    </row>
    <row r="159" spans="1:12" s="58" customFormat="1" x14ac:dyDescent="0.25">
      <c r="A159" s="191">
        <v>125</v>
      </c>
      <c r="B159" s="102" t="s">
        <v>174</v>
      </c>
      <c r="C159" s="95"/>
      <c r="D159" s="95" t="s">
        <v>88</v>
      </c>
      <c r="E159" s="104">
        <v>0.34</v>
      </c>
      <c r="F159" s="105">
        <f t="shared" si="10"/>
        <v>0</v>
      </c>
      <c r="G159" s="158"/>
      <c r="H159" s="148"/>
      <c r="I159" s="105">
        <f t="shared" si="11"/>
        <v>0</v>
      </c>
      <c r="J159" s="158">
        <f t="shared" si="12"/>
        <v>0</v>
      </c>
      <c r="K159" s="148">
        <f t="shared" si="13"/>
        <v>0</v>
      </c>
      <c r="L159" s="188"/>
    </row>
    <row r="160" spans="1:12" s="54" customFormat="1" x14ac:dyDescent="0.25">
      <c r="A160" s="189">
        <f t="shared" si="14"/>
        <v>126</v>
      </c>
      <c r="B160" s="61" t="s">
        <v>236</v>
      </c>
      <c r="C160" s="62">
        <v>4.2</v>
      </c>
      <c r="D160" s="62" t="s">
        <v>161</v>
      </c>
      <c r="E160" s="55">
        <f>ROUND(E159*C160,2)</f>
        <v>1.43</v>
      </c>
      <c r="F160" s="124">
        <f t="shared" si="10"/>
        <v>0</v>
      </c>
      <c r="G160" s="53"/>
      <c r="H160" s="149"/>
      <c r="I160" s="124">
        <f t="shared" si="11"/>
        <v>0</v>
      </c>
      <c r="J160" s="53">
        <f t="shared" si="12"/>
        <v>0</v>
      </c>
      <c r="K160" s="149">
        <f t="shared" si="13"/>
        <v>0</v>
      </c>
      <c r="L160" s="190" t="s">
        <v>134</v>
      </c>
    </row>
    <row r="161" spans="1:12" s="54" customFormat="1" x14ac:dyDescent="0.25">
      <c r="A161" s="189">
        <f t="shared" si="14"/>
        <v>127</v>
      </c>
      <c r="B161" s="61" t="s">
        <v>237</v>
      </c>
      <c r="C161" s="62">
        <v>0.3</v>
      </c>
      <c r="D161" s="62" t="s">
        <v>161</v>
      </c>
      <c r="E161" s="55">
        <f>ROUND(E159*C161,2)</f>
        <v>0.1</v>
      </c>
      <c r="F161" s="124">
        <f t="shared" si="10"/>
        <v>0</v>
      </c>
      <c r="G161" s="53"/>
      <c r="H161" s="149"/>
      <c r="I161" s="124">
        <f t="shared" si="11"/>
        <v>0</v>
      </c>
      <c r="J161" s="53">
        <f t="shared" si="12"/>
        <v>0</v>
      </c>
      <c r="K161" s="149">
        <f t="shared" si="13"/>
        <v>0</v>
      </c>
      <c r="L161" s="190" t="s">
        <v>134</v>
      </c>
    </row>
    <row r="162" spans="1:12" s="54" customFormat="1" ht="47.25" x14ac:dyDescent="0.25">
      <c r="A162" s="189">
        <f t="shared" si="14"/>
        <v>128</v>
      </c>
      <c r="B162" s="61" t="s">
        <v>238</v>
      </c>
      <c r="C162" s="62">
        <f>1.1</f>
        <v>1.1000000000000001</v>
      </c>
      <c r="D162" s="62" t="s">
        <v>88</v>
      </c>
      <c r="E162" s="55">
        <f>ROUND(E159*C162,2)</f>
        <v>0.37</v>
      </c>
      <c r="F162" s="124">
        <f t="shared" si="10"/>
        <v>0</v>
      </c>
      <c r="G162" s="53"/>
      <c r="H162" s="149"/>
      <c r="I162" s="124">
        <f t="shared" si="11"/>
        <v>0</v>
      </c>
      <c r="J162" s="53">
        <f t="shared" si="12"/>
        <v>0</v>
      </c>
      <c r="K162" s="149">
        <f t="shared" si="13"/>
        <v>0</v>
      </c>
      <c r="L162" s="192" t="s">
        <v>137</v>
      </c>
    </row>
    <row r="163" spans="1:12" s="58" customFormat="1" x14ac:dyDescent="0.25">
      <c r="A163" s="194"/>
      <c r="B163" s="107" t="s">
        <v>177</v>
      </c>
      <c r="C163" s="107"/>
      <c r="D163" s="107"/>
      <c r="E163" s="107"/>
      <c r="F163" s="107"/>
      <c r="G163" s="159"/>
      <c r="H163" s="150"/>
      <c r="I163" s="107"/>
      <c r="J163" s="159"/>
      <c r="K163" s="150"/>
      <c r="L163" s="195"/>
    </row>
    <row r="164" spans="1:12" s="58" customFormat="1" x14ac:dyDescent="0.25">
      <c r="A164" s="185"/>
      <c r="B164" s="110" t="s">
        <v>166</v>
      </c>
      <c r="C164" s="98"/>
      <c r="D164" s="98"/>
      <c r="E164" s="110"/>
      <c r="F164" s="110"/>
      <c r="G164" s="157"/>
      <c r="H164" s="147"/>
      <c r="I164" s="110"/>
      <c r="J164" s="157"/>
      <c r="K164" s="147"/>
      <c r="L164" s="196"/>
    </row>
    <row r="165" spans="1:12" s="56" customFormat="1" x14ac:dyDescent="0.25">
      <c r="A165" s="191">
        <v>129</v>
      </c>
      <c r="B165" s="102" t="s">
        <v>162</v>
      </c>
      <c r="C165" s="106"/>
      <c r="D165" s="106" t="s">
        <v>88</v>
      </c>
      <c r="E165" s="105">
        <v>966.86</v>
      </c>
      <c r="F165" s="105">
        <f t="shared" si="10"/>
        <v>0</v>
      </c>
      <c r="G165" s="158"/>
      <c r="H165" s="148"/>
      <c r="I165" s="105">
        <f t="shared" si="11"/>
        <v>0</v>
      </c>
      <c r="J165" s="158">
        <f t="shared" si="12"/>
        <v>0</v>
      </c>
      <c r="K165" s="148">
        <f t="shared" si="13"/>
        <v>0</v>
      </c>
      <c r="L165" s="188"/>
    </row>
    <row r="166" spans="1:12" x14ac:dyDescent="0.25">
      <c r="A166" s="189">
        <f t="shared" si="14"/>
        <v>130</v>
      </c>
      <c r="B166" s="61" t="s">
        <v>239</v>
      </c>
      <c r="C166" s="63">
        <v>6</v>
      </c>
      <c r="D166" s="63" t="s">
        <v>161</v>
      </c>
      <c r="E166" s="55">
        <f>ROUND(E165*C166,2)</f>
        <v>5801.16</v>
      </c>
      <c r="F166" s="124">
        <f t="shared" si="10"/>
        <v>0</v>
      </c>
      <c r="G166" s="53"/>
      <c r="H166" s="149"/>
      <c r="I166" s="124">
        <f t="shared" si="11"/>
        <v>0</v>
      </c>
      <c r="J166" s="53">
        <f t="shared" si="12"/>
        <v>0</v>
      </c>
      <c r="K166" s="149">
        <f t="shared" si="13"/>
        <v>0</v>
      </c>
      <c r="L166" s="190" t="s">
        <v>134</v>
      </c>
    </row>
    <row r="167" spans="1:12" s="58" customFormat="1" x14ac:dyDescent="0.25">
      <c r="A167" s="191">
        <f t="shared" si="14"/>
        <v>131</v>
      </c>
      <c r="B167" s="102" t="s">
        <v>167</v>
      </c>
      <c r="C167" s="95"/>
      <c r="D167" s="95" t="s">
        <v>88</v>
      </c>
      <c r="E167" s="105">
        <f>96.65/0.1</f>
        <v>966.5</v>
      </c>
      <c r="F167" s="105">
        <f t="shared" si="10"/>
        <v>0</v>
      </c>
      <c r="G167" s="158"/>
      <c r="H167" s="148"/>
      <c r="I167" s="105">
        <f t="shared" si="11"/>
        <v>0</v>
      </c>
      <c r="J167" s="158">
        <f t="shared" si="12"/>
        <v>0</v>
      </c>
      <c r="K167" s="148">
        <f t="shared" si="13"/>
        <v>0</v>
      </c>
      <c r="L167" s="188"/>
    </row>
    <row r="168" spans="1:12" s="54" customFormat="1" x14ac:dyDescent="0.25">
      <c r="A168" s="189">
        <f t="shared" si="14"/>
        <v>132</v>
      </c>
      <c r="B168" s="61" t="s">
        <v>160</v>
      </c>
      <c r="C168" s="59">
        <f>1.03*0.1</f>
        <v>0.10299999999999999</v>
      </c>
      <c r="D168" s="60" t="s">
        <v>159</v>
      </c>
      <c r="E168" s="55">
        <f>ROUND(E167*C168,2)</f>
        <v>99.55</v>
      </c>
      <c r="F168" s="124">
        <f t="shared" si="10"/>
        <v>0</v>
      </c>
      <c r="G168" s="53"/>
      <c r="H168" s="149"/>
      <c r="I168" s="124">
        <f t="shared" si="11"/>
        <v>0</v>
      </c>
      <c r="J168" s="53">
        <f t="shared" si="12"/>
        <v>0</v>
      </c>
      <c r="K168" s="149">
        <f t="shared" si="13"/>
        <v>0</v>
      </c>
      <c r="L168" s="192" t="s">
        <v>137</v>
      </c>
    </row>
    <row r="169" spans="1:12" s="56" customFormat="1" ht="31.5" x14ac:dyDescent="0.25">
      <c r="A169" s="191">
        <f t="shared" si="14"/>
        <v>133</v>
      </c>
      <c r="B169" s="102" t="s">
        <v>176</v>
      </c>
      <c r="C169" s="106"/>
      <c r="D169" s="95" t="s">
        <v>88</v>
      </c>
      <c r="E169" s="105">
        <v>966.31</v>
      </c>
      <c r="F169" s="105">
        <f t="shared" si="10"/>
        <v>0</v>
      </c>
      <c r="G169" s="158"/>
      <c r="H169" s="148"/>
      <c r="I169" s="105">
        <f t="shared" si="11"/>
        <v>0</v>
      </c>
      <c r="J169" s="158">
        <f t="shared" si="12"/>
        <v>0</v>
      </c>
      <c r="K169" s="148">
        <f t="shared" si="13"/>
        <v>0</v>
      </c>
      <c r="L169" s="188"/>
    </row>
    <row r="170" spans="1:12" x14ac:dyDescent="0.25">
      <c r="A170" s="189">
        <f t="shared" si="14"/>
        <v>134</v>
      </c>
      <c r="B170" s="61" t="s">
        <v>240</v>
      </c>
      <c r="C170" s="63">
        <v>6</v>
      </c>
      <c r="D170" s="62" t="s">
        <v>161</v>
      </c>
      <c r="E170" s="55">
        <f>ROUND(E169*C170,2)</f>
        <v>5797.86</v>
      </c>
      <c r="F170" s="124">
        <f t="shared" si="10"/>
        <v>0</v>
      </c>
      <c r="G170" s="53"/>
      <c r="H170" s="149"/>
      <c r="I170" s="124">
        <f t="shared" si="11"/>
        <v>0</v>
      </c>
      <c r="J170" s="53">
        <f t="shared" si="12"/>
        <v>0</v>
      </c>
      <c r="K170" s="149">
        <f t="shared" si="13"/>
        <v>0</v>
      </c>
      <c r="L170" s="190" t="s">
        <v>134</v>
      </c>
    </row>
    <row r="171" spans="1:12" x14ac:dyDescent="0.25">
      <c r="A171" s="189">
        <f t="shared" si="14"/>
        <v>135</v>
      </c>
      <c r="B171" s="61" t="s">
        <v>172</v>
      </c>
      <c r="C171" s="63">
        <v>1.1000000000000001</v>
      </c>
      <c r="D171" s="62" t="s">
        <v>88</v>
      </c>
      <c r="E171" s="55">
        <f>ROUND(E169*C171,2)</f>
        <v>1062.94</v>
      </c>
      <c r="F171" s="124">
        <f t="shared" si="10"/>
        <v>0</v>
      </c>
      <c r="G171" s="53"/>
      <c r="H171" s="149"/>
      <c r="I171" s="124">
        <f t="shared" si="11"/>
        <v>0</v>
      </c>
      <c r="J171" s="53">
        <f t="shared" si="12"/>
        <v>0</v>
      </c>
      <c r="K171" s="149">
        <f t="shared" si="13"/>
        <v>0</v>
      </c>
      <c r="L171" s="190" t="s">
        <v>134</v>
      </c>
    </row>
    <row r="172" spans="1:12" s="56" customFormat="1" x14ac:dyDescent="0.25">
      <c r="A172" s="191">
        <f t="shared" si="14"/>
        <v>136</v>
      </c>
      <c r="B172" s="102" t="s">
        <v>163</v>
      </c>
      <c r="C172" s="106"/>
      <c r="D172" s="106" t="s">
        <v>88</v>
      </c>
      <c r="E172" s="105">
        <v>966.26</v>
      </c>
      <c r="F172" s="105">
        <f t="shared" si="10"/>
        <v>0</v>
      </c>
      <c r="G172" s="158"/>
      <c r="H172" s="148"/>
      <c r="I172" s="105">
        <f t="shared" si="11"/>
        <v>0</v>
      </c>
      <c r="J172" s="158">
        <f t="shared" si="12"/>
        <v>0</v>
      </c>
      <c r="K172" s="148">
        <f t="shared" si="13"/>
        <v>0</v>
      </c>
      <c r="L172" s="188"/>
    </row>
    <row r="173" spans="1:12" x14ac:dyDescent="0.25">
      <c r="A173" s="189">
        <f t="shared" si="14"/>
        <v>137</v>
      </c>
      <c r="B173" s="61" t="s">
        <v>243</v>
      </c>
      <c r="C173" s="63">
        <v>2</v>
      </c>
      <c r="D173" s="63" t="s">
        <v>161</v>
      </c>
      <c r="E173" s="55">
        <f>ROUND(E172*C173,2)</f>
        <v>1932.52</v>
      </c>
      <c r="F173" s="124">
        <f t="shared" si="10"/>
        <v>0</v>
      </c>
      <c r="G173" s="53"/>
      <c r="H173" s="149"/>
      <c r="I173" s="124">
        <f t="shared" si="11"/>
        <v>0</v>
      </c>
      <c r="J173" s="53">
        <f t="shared" si="12"/>
        <v>0</v>
      </c>
      <c r="K173" s="149">
        <f t="shared" si="13"/>
        <v>0</v>
      </c>
      <c r="L173" s="190" t="s">
        <v>134</v>
      </c>
    </row>
    <row r="174" spans="1:12" s="56" customFormat="1" x14ac:dyDescent="0.25">
      <c r="A174" s="191">
        <f>A173+1</f>
        <v>138</v>
      </c>
      <c r="B174" s="102" t="s">
        <v>254</v>
      </c>
      <c r="C174" s="106"/>
      <c r="D174" s="106" t="s">
        <v>88</v>
      </c>
      <c r="E174" s="105">
        <v>966.86</v>
      </c>
      <c r="F174" s="105">
        <f t="shared" si="10"/>
        <v>0</v>
      </c>
      <c r="G174" s="158"/>
      <c r="H174" s="148"/>
      <c r="I174" s="105">
        <f t="shared" si="11"/>
        <v>0</v>
      </c>
      <c r="J174" s="158">
        <f t="shared" si="12"/>
        <v>0</v>
      </c>
      <c r="K174" s="148">
        <f t="shared" si="13"/>
        <v>0</v>
      </c>
      <c r="L174" s="188"/>
    </row>
    <row r="175" spans="1:12" s="54" customFormat="1" x14ac:dyDescent="0.25">
      <c r="A175" s="193">
        <f>A174+1</f>
        <v>139</v>
      </c>
      <c r="B175" s="61" t="s">
        <v>195</v>
      </c>
      <c r="C175" s="62">
        <v>0.4</v>
      </c>
      <c r="D175" s="62" t="s">
        <v>164</v>
      </c>
      <c r="E175" s="55">
        <f>ROUND(E174*C175,2)</f>
        <v>386.74</v>
      </c>
      <c r="F175" s="124">
        <f t="shared" si="10"/>
        <v>0</v>
      </c>
      <c r="G175" s="53"/>
      <c r="H175" s="149"/>
      <c r="I175" s="124">
        <f t="shared" si="11"/>
        <v>0</v>
      </c>
      <c r="J175" s="53">
        <f t="shared" si="12"/>
        <v>0</v>
      </c>
      <c r="K175" s="149">
        <f t="shared" si="13"/>
        <v>0</v>
      </c>
      <c r="L175" s="190" t="s">
        <v>134</v>
      </c>
    </row>
    <row r="176" spans="1:12" s="56" customFormat="1" x14ac:dyDescent="0.25">
      <c r="A176" s="191">
        <f>A175+1</f>
        <v>140</v>
      </c>
      <c r="B176" s="102" t="s">
        <v>255</v>
      </c>
      <c r="C176" s="106"/>
      <c r="D176" s="106" t="s">
        <v>88</v>
      </c>
      <c r="E176" s="105">
        <v>966.24</v>
      </c>
      <c r="F176" s="105">
        <f t="shared" si="10"/>
        <v>0</v>
      </c>
      <c r="G176" s="158"/>
      <c r="H176" s="148"/>
      <c r="I176" s="105">
        <f t="shared" si="11"/>
        <v>0</v>
      </c>
      <c r="J176" s="158">
        <f t="shared" si="12"/>
        <v>0</v>
      </c>
      <c r="K176" s="148">
        <f t="shared" si="13"/>
        <v>0</v>
      </c>
      <c r="L176" s="188"/>
    </row>
    <row r="177" spans="1:12" s="54" customFormat="1" x14ac:dyDescent="0.25">
      <c r="A177" s="193">
        <f>A176+1</f>
        <v>141</v>
      </c>
      <c r="B177" s="61" t="s">
        <v>245</v>
      </c>
      <c r="C177" s="62">
        <v>0.45</v>
      </c>
      <c r="D177" s="62" t="s">
        <v>164</v>
      </c>
      <c r="E177" s="55">
        <f>ROUND(E176*C177,2)</f>
        <v>434.81</v>
      </c>
      <c r="F177" s="124">
        <f t="shared" si="10"/>
        <v>0</v>
      </c>
      <c r="G177" s="53"/>
      <c r="H177" s="149"/>
      <c r="I177" s="124">
        <f t="shared" si="11"/>
        <v>0</v>
      </c>
      <c r="J177" s="53">
        <f t="shared" si="12"/>
        <v>0</v>
      </c>
      <c r="K177" s="149">
        <f t="shared" si="13"/>
        <v>0</v>
      </c>
      <c r="L177" s="190" t="s">
        <v>134</v>
      </c>
    </row>
    <row r="178" spans="1:12" s="56" customFormat="1" x14ac:dyDescent="0.25">
      <c r="A178" s="185"/>
      <c r="B178" s="110" t="s">
        <v>257</v>
      </c>
      <c r="C178" s="97"/>
      <c r="D178" s="98"/>
      <c r="E178" s="99"/>
      <c r="F178" s="99"/>
      <c r="G178" s="160"/>
      <c r="H178" s="151"/>
      <c r="I178" s="99"/>
      <c r="J178" s="160"/>
      <c r="K178" s="151"/>
      <c r="L178" s="197"/>
    </row>
    <row r="179" spans="1:12" s="56" customFormat="1" x14ac:dyDescent="0.25">
      <c r="A179" s="191">
        <v>142</v>
      </c>
      <c r="B179" s="102" t="s">
        <v>170</v>
      </c>
      <c r="C179" s="106"/>
      <c r="D179" s="106" t="s">
        <v>88</v>
      </c>
      <c r="E179" s="105">
        <v>7.13</v>
      </c>
      <c r="F179" s="105">
        <f t="shared" si="10"/>
        <v>0</v>
      </c>
      <c r="G179" s="158"/>
      <c r="H179" s="148"/>
      <c r="I179" s="105">
        <f t="shared" si="11"/>
        <v>0</v>
      </c>
      <c r="J179" s="158">
        <f t="shared" si="12"/>
        <v>0</v>
      </c>
      <c r="K179" s="148">
        <f t="shared" si="13"/>
        <v>0</v>
      </c>
      <c r="L179" s="188"/>
    </row>
    <row r="180" spans="1:12" x14ac:dyDescent="0.25">
      <c r="A180" s="189">
        <f t="shared" si="14"/>
        <v>143</v>
      </c>
      <c r="B180" s="61" t="s">
        <v>246</v>
      </c>
      <c r="C180" s="63">
        <f>1.2*5</f>
        <v>6</v>
      </c>
      <c r="D180" s="63" t="s">
        <v>161</v>
      </c>
      <c r="E180" s="55">
        <f>ROUND(E179*C180,2)</f>
        <v>42.78</v>
      </c>
      <c r="F180" s="124">
        <f t="shared" si="10"/>
        <v>0</v>
      </c>
      <c r="G180" s="53"/>
      <c r="H180" s="149"/>
      <c r="I180" s="124">
        <f t="shared" si="11"/>
        <v>0</v>
      </c>
      <c r="J180" s="53">
        <f t="shared" si="12"/>
        <v>0</v>
      </c>
      <c r="K180" s="149">
        <f t="shared" si="13"/>
        <v>0</v>
      </c>
      <c r="L180" s="190" t="s">
        <v>134</v>
      </c>
    </row>
    <row r="181" spans="1:12" s="56" customFormat="1" x14ac:dyDescent="0.25">
      <c r="A181" s="187">
        <f t="shared" si="14"/>
        <v>144</v>
      </c>
      <c r="B181" s="102" t="s">
        <v>171</v>
      </c>
      <c r="C181" s="106"/>
      <c r="D181" s="106" t="s">
        <v>88</v>
      </c>
      <c r="E181" s="105">
        <v>7.13</v>
      </c>
      <c r="F181" s="105">
        <f t="shared" si="10"/>
        <v>0</v>
      </c>
      <c r="G181" s="158"/>
      <c r="H181" s="148"/>
      <c r="I181" s="105">
        <f t="shared" si="11"/>
        <v>0</v>
      </c>
      <c r="J181" s="158">
        <f t="shared" si="12"/>
        <v>0</v>
      </c>
      <c r="K181" s="148">
        <f t="shared" si="13"/>
        <v>0</v>
      </c>
      <c r="L181" s="188"/>
    </row>
    <row r="182" spans="1:12" s="54" customFormat="1" x14ac:dyDescent="0.25">
      <c r="A182" s="189">
        <f t="shared" si="14"/>
        <v>145</v>
      </c>
      <c r="B182" s="61" t="s">
        <v>195</v>
      </c>
      <c r="C182" s="62">
        <v>0.4</v>
      </c>
      <c r="D182" s="62" t="s">
        <v>164</v>
      </c>
      <c r="E182" s="55">
        <f>ROUND(E181*C182,2)</f>
        <v>2.85</v>
      </c>
      <c r="F182" s="124">
        <f t="shared" si="10"/>
        <v>0</v>
      </c>
      <c r="G182" s="53"/>
      <c r="H182" s="149"/>
      <c r="I182" s="124">
        <f t="shared" si="11"/>
        <v>0</v>
      </c>
      <c r="J182" s="53">
        <f t="shared" si="12"/>
        <v>0</v>
      </c>
      <c r="K182" s="149">
        <f t="shared" si="13"/>
        <v>0</v>
      </c>
      <c r="L182" s="190" t="s">
        <v>134</v>
      </c>
    </row>
    <row r="183" spans="1:12" s="54" customFormat="1" x14ac:dyDescent="0.25">
      <c r="A183" s="189">
        <f t="shared" si="14"/>
        <v>146</v>
      </c>
      <c r="B183" s="61" t="s">
        <v>245</v>
      </c>
      <c r="C183" s="62">
        <v>0.45</v>
      </c>
      <c r="D183" s="62" t="s">
        <v>164</v>
      </c>
      <c r="E183" s="55">
        <f>ROUND(E181*C183,2)</f>
        <v>3.21</v>
      </c>
      <c r="F183" s="124">
        <f t="shared" si="10"/>
        <v>0</v>
      </c>
      <c r="G183" s="53"/>
      <c r="H183" s="149"/>
      <c r="I183" s="124">
        <f t="shared" si="11"/>
        <v>0</v>
      </c>
      <c r="J183" s="53">
        <f t="shared" si="12"/>
        <v>0</v>
      </c>
      <c r="K183" s="149">
        <f t="shared" si="13"/>
        <v>0</v>
      </c>
      <c r="L183" s="190" t="s">
        <v>134</v>
      </c>
    </row>
    <row r="184" spans="1:12" s="58" customFormat="1" x14ac:dyDescent="0.25">
      <c r="A184" s="185"/>
      <c r="B184" s="110" t="s">
        <v>260</v>
      </c>
      <c r="C184" s="98"/>
      <c r="D184" s="98"/>
      <c r="E184" s="110"/>
      <c r="F184" s="110"/>
      <c r="G184" s="157"/>
      <c r="H184" s="147"/>
      <c r="I184" s="110"/>
      <c r="J184" s="157"/>
      <c r="K184" s="147"/>
      <c r="L184" s="196"/>
    </row>
    <row r="185" spans="1:12" s="56" customFormat="1" x14ac:dyDescent="0.25">
      <c r="A185" s="191">
        <v>147</v>
      </c>
      <c r="B185" s="102" t="s">
        <v>256</v>
      </c>
      <c r="C185" s="106"/>
      <c r="D185" s="95" t="s">
        <v>88</v>
      </c>
      <c r="E185" s="105">
        <v>9.0500000000000007</v>
      </c>
      <c r="F185" s="105">
        <f t="shared" si="10"/>
        <v>0</v>
      </c>
      <c r="G185" s="158"/>
      <c r="H185" s="148"/>
      <c r="I185" s="105">
        <f t="shared" si="11"/>
        <v>0</v>
      </c>
      <c r="J185" s="158">
        <f t="shared" si="12"/>
        <v>0</v>
      </c>
      <c r="K185" s="148">
        <f t="shared" si="13"/>
        <v>0</v>
      </c>
      <c r="L185" s="188"/>
    </row>
    <row r="186" spans="1:12" x14ac:dyDescent="0.25">
      <c r="A186" s="193">
        <f>A185+1</f>
        <v>148</v>
      </c>
      <c r="B186" s="61" t="s">
        <v>180</v>
      </c>
      <c r="C186" s="63">
        <v>1.1000000000000001</v>
      </c>
      <c r="D186" s="62" t="s">
        <v>88</v>
      </c>
      <c r="E186" s="55">
        <f>ROUND(E185*C186,2)</f>
        <v>9.9600000000000009</v>
      </c>
      <c r="F186" s="124">
        <f t="shared" si="10"/>
        <v>0</v>
      </c>
      <c r="G186" s="53"/>
      <c r="H186" s="149"/>
      <c r="I186" s="124">
        <f t="shared" si="11"/>
        <v>0</v>
      </c>
      <c r="J186" s="53">
        <f t="shared" si="12"/>
        <v>0</v>
      </c>
      <c r="K186" s="149">
        <f t="shared" si="13"/>
        <v>0</v>
      </c>
      <c r="L186" s="190"/>
    </row>
    <row r="187" spans="1:12" s="56" customFormat="1" ht="31.5" x14ac:dyDescent="0.25">
      <c r="A187" s="191">
        <f>A186+1</f>
        <v>149</v>
      </c>
      <c r="B187" s="102" t="s">
        <v>176</v>
      </c>
      <c r="C187" s="106"/>
      <c r="D187" s="95" t="s">
        <v>88</v>
      </c>
      <c r="E187" s="105">
        <v>9.0500000000000007</v>
      </c>
      <c r="F187" s="105">
        <f t="shared" si="10"/>
        <v>0</v>
      </c>
      <c r="G187" s="158"/>
      <c r="H187" s="148"/>
      <c r="I187" s="105">
        <f t="shared" si="11"/>
        <v>0</v>
      </c>
      <c r="J187" s="158">
        <f t="shared" si="12"/>
        <v>0</v>
      </c>
      <c r="K187" s="148">
        <f t="shared" si="13"/>
        <v>0</v>
      </c>
      <c r="L187" s="188"/>
    </row>
    <row r="188" spans="1:12" x14ac:dyDescent="0.25">
      <c r="A188" s="189">
        <f t="shared" si="14"/>
        <v>150</v>
      </c>
      <c r="B188" s="61" t="s">
        <v>241</v>
      </c>
      <c r="C188" s="63">
        <v>6</v>
      </c>
      <c r="D188" s="62" t="s">
        <v>161</v>
      </c>
      <c r="E188" s="55">
        <f>ROUND(E187*C188,2)</f>
        <v>54.3</v>
      </c>
      <c r="F188" s="124">
        <f t="shared" si="10"/>
        <v>0</v>
      </c>
      <c r="G188" s="53"/>
      <c r="H188" s="149"/>
      <c r="I188" s="124">
        <f t="shared" si="11"/>
        <v>0</v>
      </c>
      <c r="J188" s="53">
        <f t="shared" si="12"/>
        <v>0</v>
      </c>
      <c r="K188" s="149">
        <f t="shared" si="13"/>
        <v>0</v>
      </c>
      <c r="L188" s="190" t="s">
        <v>134</v>
      </c>
    </row>
    <row r="189" spans="1:12" x14ac:dyDescent="0.25">
      <c r="A189" s="189">
        <f t="shared" si="14"/>
        <v>151</v>
      </c>
      <c r="B189" s="61" t="s">
        <v>172</v>
      </c>
      <c r="C189" s="63">
        <v>1.1000000000000001</v>
      </c>
      <c r="D189" s="62" t="s">
        <v>88</v>
      </c>
      <c r="E189" s="55">
        <f>ROUND(E187*C189,2)</f>
        <v>9.9600000000000009</v>
      </c>
      <c r="F189" s="124">
        <f t="shared" si="10"/>
        <v>0</v>
      </c>
      <c r="G189" s="53"/>
      <c r="H189" s="149"/>
      <c r="I189" s="124">
        <f t="shared" si="11"/>
        <v>0</v>
      </c>
      <c r="J189" s="53">
        <f t="shared" si="12"/>
        <v>0</v>
      </c>
      <c r="K189" s="149">
        <f t="shared" si="13"/>
        <v>0</v>
      </c>
      <c r="L189" s="190" t="s">
        <v>134</v>
      </c>
    </row>
    <row r="190" spans="1:12" s="56" customFormat="1" x14ac:dyDescent="0.25">
      <c r="A190" s="191">
        <f t="shared" si="14"/>
        <v>152</v>
      </c>
      <c r="B190" s="102" t="s">
        <v>163</v>
      </c>
      <c r="C190" s="106"/>
      <c r="D190" s="106" t="s">
        <v>88</v>
      </c>
      <c r="E190" s="105">
        <v>9.0500000000000007</v>
      </c>
      <c r="F190" s="105">
        <f t="shared" si="10"/>
        <v>0</v>
      </c>
      <c r="G190" s="158"/>
      <c r="H190" s="148"/>
      <c r="I190" s="105">
        <f t="shared" si="11"/>
        <v>0</v>
      </c>
      <c r="J190" s="158">
        <f t="shared" si="12"/>
        <v>0</v>
      </c>
      <c r="K190" s="148">
        <f t="shared" si="13"/>
        <v>0</v>
      </c>
      <c r="L190" s="188"/>
    </row>
    <row r="191" spans="1:12" x14ac:dyDescent="0.25">
      <c r="A191" s="189">
        <f t="shared" si="14"/>
        <v>153</v>
      </c>
      <c r="B191" s="61" t="s">
        <v>243</v>
      </c>
      <c r="C191" s="63">
        <v>2</v>
      </c>
      <c r="D191" s="63" t="s">
        <v>161</v>
      </c>
      <c r="E191" s="55">
        <f>ROUND(E190*C191,2)</f>
        <v>18.100000000000001</v>
      </c>
      <c r="F191" s="124">
        <f t="shared" si="10"/>
        <v>0</v>
      </c>
      <c r="G191" s="53"/>
      <c r="H191" s="149"/>
      <c r="I191" s="124">
        <f t="shared" si="11"/>
        <v>0</v>
      </c>
      <c r="J191" s="53">
        <f t="shared" si="12"/>
        <v>0</v>
      </c>
      <c r="K191" s="149">
        <f t="shared" si="13"/>
        <v>0</v>
      </c>
      <c r="L191" s="190" t="s">
        <v>134</v>
      </c>
    </row>
    <row r="192" spans="1:12" s="56" customFormat="1" x14ac:dyDescent="0.25">
      <c r="A192" s="187">
        <f t="shared" si="14"/>
        <v>154</v>
      </c>
      <c r="B192" s="102" t="s">
        <v>171</v>
      </c>
      <c r="C192" s="106"/>
      <c r="D192" s="106" t="s">
        <v>88</v>
      </c>
      <c r="E192" s="105">
        <v>9.0500000000000007</v>
      </c>
      <c r="F192" s="105">
        <f t="shared" si="10"/>
        <v>0</v>
      </c>
      <c r="G192" s="158"/>
      <c r="H192" s="148"/>
      <c r="I192" s="105">
        <f t="shared" si="11"/>
        <v>0</v>
      </c>
      <c r="J192" s="158">
        <f t="shared" si="12"/>
        <v>0</v>
      </c>
      <c r="K192" s="148">
        <f t="shared" si="13"/>
        <v>0</v>
      </c>
      <c r="L192" s="188"/>
    </row>
    <row r="193" spans="1:21" s="54" customFormat="1" x14ac:dyDescent="0.25">
      <c r="A193" s="189">
        <f t="shared" si="14"/>
        <v>155</v>
      </c>
      <c r="B193" s="61" t="s">
        <v>195</v>
      </c>
      <c r="C193" s="62">
        <v>0.4</v>
      </c>
      <c r="D193" s="62" t="s">
        <v>164</v>
      </c>
      <c r="E193" s="55">
        <f>ROUND(E192*C193,2)</f>
        <v>3.62</v>
      </c>
      <c r="F193" s="124">
        <f t="shared" si="10"/>
        <v>0</v>
      </c>
      <c r="G193" s="53"/>
      <c r="H193" s="149"/>
      <c r="I193" s="124">
        <f t="shared" si="11"/>
        <v>0</v>
      </c>
      <c r="J193" s="53">
        <f t="shared" si="12"/>
        <v>0</v>
      </c>
      <c r="K193" s="149">
        <f t="shared" si="13"/>
        <v>0</v>
      </c>
      <c r="L193" s="190" t="s">
        <v>134</v>
      </c>
    </row>
    <row r="194" spans="1:21" s="54" customFormat="1" x14ac:dyDescent="0.25">
      <c r="A194" s="189">
        <f t="shared" si="14"/>
        <v>156</v>
      </c>
      <c r="B194" s="61" t="s">
        <v>245</v>
      </c>
      <c r="C194" s="62">
        <v>0.45</v>
      </c>
      <c r="D194" s="62" t="s">
        <v>164</v>
      </c>
      <c r="E194" s="55">
        <f>ROUND(E192*C194,2)</f>
        <v>4.07</v>
      </c>
      <c r="F194" s="124">
        <f t="shared" si="10"/>
        <v>0</v>
      </c>
      <c r="G194" s="53"/>
      <c r="H194" s="149"/>
      <c r="I194" s="124">
        <f t="shared" si="11"/>
        <v>0</v>
      </c>
      <c r="J194" s="53">
        <f t="shared" si="12"/>
        <v>0</v>
      </c>
      <c r="K194" s="149">
        <f t="shared" si="13"/>
        <v>0</v>
      </c>
      <c r="L194" s="190" t="s">
        <v>134</v>
      </c>
    </row>
    <row r="195" spans="1:21" s="58" customFormat="1" ht="16.5" customHeight="1" x14ac:dyDescent="0.25">
      <c r="A195" s="185"/>
      <c r="B195" s="110" t="s">
        <v>156</v>
      </c>
      <c r="C195" s="98"/>
      <c r="D195" s="98"/>
      <c r="E195" s="110"/>
      <c r="F195" s="110"/>
      <c r="G195" s="157"/>
      <c r="H195" s="147"/>
      <c r="I195" s="110"/>
      <c r="J195" s="157"/>
      <c r="K195" s="147"/>
      <c r="L195" s="196"/>
      <c r="N195" s="112" t="s">
        <v>262</v>
      </c>
      <c r="O195" s="58">
        <f>434.56/0.2-E132-E66-E238</f>
        <v>274.2</v>
      </c>
    </row>
    <row r="196" spans="1:21" s="56" customFormat="1" ht="18.75" customHeight="1" x14ac:dyDescent="0.25">
      <c r="A196" s="187" t="s">
        <v>274</v>
      </c>
      <c r="B196" s="102" t="s">
        <v>182</v>
      </c>
      <c r="C196" s="106"/>
      <c r="D196" s="106" t="s">
        <v>231</v>
      </c>
      <c r="E196" s="105">
        <f>O196/0.2</f>
        <v>274.2</v>
      </c>
      <c r="F196" s="105">
        <f t="shared" si="10"/>
        <v>0</v>
      </c>
      <c r="G196" s="158"/>
      <c r="H196" s="148"/>
      <c r="I196" s="105">
        <f t="shared" si="11"/>
        <v>0</v>
      </c>
      <c r="J196" s="158">
        <f t="shared" si="12"/>
        <v>0</v>
      </c>
      <c r="K196" s="148">
        <f t="shared" si="13"/>
        <v>0</v>
      </c>
      <c r="L196" s="188"/>
      <c r="M196" s="65" t="s">
        <v>223</v>
      </c>
      <c r="N196" s="66" t="s">
        <v>222</v>
      </c>
      <c r="O196" s="111">
        <f>434.56-145.58-144.93-89.21</f>
        <v>54.84</v>
      </c>
      <c r="P196" s="58"/>
      <c r="Q196" s="58"/>
      <c r="R196" s="58"/>
      <c r="S196" s="58"/>
      <c r="T196" s="58"/>
      <c r="U196" s="58"/>
    </row>
    <row r="197" spans="1:21" s="54" customFormat="1" x14ac:dyDescent="0.25">
      <c r="A197" s="189">
        <f t="shared" si="14"/>
        <v>158</v>
      </c>
      <c r="B197" s="61" t="s">
        <v>247</v>
      </c>
      <c r="C197" s="62">
        <v>0.3</v>
      </c>
      <c r="D197" s="62" t="s">
        <v>164</v>
      </c>
      <c r="E197" s="55">
        <f>ROUND(E196*C197,2)</f>
        <v>82.26</v>
      </c>
      <c r="F197" s="124">
        <f t="shared" si="10"/>
        <v>0</v>
      </c>
      <c r="G197" s="53"/>
      <c r="H197" s="149"/>
      <c r="I197" s="124">
        <f t="shared" si="11"/>
        <v>0</v>
      </c>
      <c r="J197" s="53">
        <f t="shared" si="12"/>
        <v>0</v>
      </c>
      <c r="K197" s="149">
        <f t="shared" si="13"/>
        <v>0</v>
      </c>
      <c r="L197" s="190" t="s">
        <v>134</v>
      </c>
    </row>
    <row r="198" spans="1:21" s="58" customFormat="1" x14ac:dyDescent="0.25">
      <c r="A198" s="185"/>
      <c r="B198" s="110" t="s">
        <v>183</v>
      </c>
      <c r="C198" s="98"/>
      <c r="D198" s="98"/>
      <c r="E198" s="110"/>
      <c r="F198" s="110"/>
      <c r="G198" s="157"/>
      <c r="H198" s="147"/>
      <c r="I198" s="110"/>
      <c r="J198" s="157"/>
      <c r="K198" s="147"/>
      <c r="L198" s="196"/>
    </row>
    <row r="199" spans="1:21" s="56" customFormat="1" ht="31.5" x14ac:dyDescent="0.25">
      <c r="A199" s="191">
        <v>159</v>
      </c>
      <c r="B199" s="102" t="s">
        <v>176</v>
      </c>
      <c r="C199" s="106"/>
      <c r="D199" s="95" t="s">
        <v>231</v>
      </c>
      <c r="E199" s="105">
        <f>30/0.12</f>
        <v>250</v>
      </c>
      <c r="F199" s="105">
        <f t="shared" si="10"/>
        <v>0</v>
      </c>
      <c r="G199" s="158"/>
      <c r="H199" s="148"/>
      <c r="I199" s="105">
        <f t="shared" si="11"/>
        <v>0</v>
      </c>
      <c r="J199" s="158">
        <f t="shared" si="12"/>
        <v>0</v>
      </c>
      <c r="K199" s="148">
        <f t="shared" si="13"/>
        <v>0</v>
      </c>
      <c r="L199" s="188"/>
      <c r="M199" s="56" t="s">
        <v>232</v>
      </c>
    </row>
    <row r="200" spans="1:21" x14ac:dyDescent="0.25">
      <c r="A200" s="189">
        <f t="shared" si="14"/>
        <v>160</v>
      </c>
      <c r="B200" s="61" t="s">
        <v>242</v>
      </c>
      <c r="C200" s="63">
        <f>6*0.12</f>
        <v>0.72</v>
      </c>
      <c r="D200" s="62" t="s">
        <v>161</v>
      </c>
      <c r="E200" s="55">
        <f>ROUND(E199*C200,2)</f>
        <v>180</v>
      </c>
      <c r="F200" s="124">
        <f t="shared" si="10"/>
        <v>0</v>
      </c>
      <c r="G200" s="53"/>
      <c r="H200" s="149"/>
      <c r="I200" s="124">
        <f t="shared" si="11"/>
        <v>0</v>
      </c>
      <c r="J200" s="53">
        <f t="shared" si="12"/>
        <v>0</v>
      </c>
      <c r="K200" s="149">
        <f t="shared" si="13"/>
        <v>0</v>
      </c>
      <c r="L200" s="190" t="s">
        <v>134</v>
      </c>
    </row>
    <row r="201" spans="1:21" x14ac:dyDescent="0.25">
      <c r="A201" s="189">
        <f t="shared" si="14"/>
        <v>161</v>
      </c>
      <c r="B201" s="61" t="s">
        <v>194</v>
      </c>
      <c r="C201" s="63">
        <f>1.1*0.12</f>
        <v>0.13200000000000001</v>
      </c>
      <c r="D201" s="62" t="s">
        <v>88</v>
      </c>
      <c r="E201" s="55">
        <f>ROUND(E199*C201,2)</f>
        <v>33</v>
      </c>
      <c r="F201" s="124">
        <f t="shared" si="10"/>
        <v>0</v>
      </c>
      <c r="G201" s="53"/>
      <c r="H201" s="149"/>
      <c r="I201" s="124">
        <f t="shared" si="11"/>
        <v>0</v>
      </c>
      <c r="J201" s="53">
        <f t="shared" si="12"/>
        <v>0</v>
      </c>
      <c r="K201" s="149">
        <f t="shared" si="13"/>
        <v>0</v>
      </c>
      <c r="L201" s="190" t="s">
        <v>134</v>
      </c>
    </row>
    <row r="202" spans="1:21" s="56" customFormat="1" x14ac:dyDescent="0.25">
      <c r="A202" s="187">
        <f t="shared" si="14"/>
        <v>162</v>
      </c>
      <c r="B202" s="102" t="s">
        <v>171</v>
      </c>
      <c r="C202" s="106"/>
      <c r="D202" s="95" t="s">
        <v>231</v>
      </c>
      <c r="E202" s="105">
        <f>30/0.12</f>
        <v>250</v>
      </c>
      <c r="F202" s="105">
        <f t="shared" si="10"/>
        <v>0</v>
      </c>
      <c r="G202" s="158"/>
      <c r="H202" s="148"/>
      <c r="I202" s="105">
        <f t="shared" si="11"/>
        <v>0</v>
      </c>
      <c r="J202" s="158">
        <f t="shared" si="12"/>
        <v>0</v>
      </c>
      <c r="K202" s="148">
        <f t="shared" si="13"/>
        <v>0</v>
      </c>
      <c r="L202" s="188"/>
    </row>
    <row r="203" spans="1:21" s="54" customFormat="1" x14ac:dyDescent="0.25">
      <c r="A203" s="189">
        <f t="shared" si="14"/>
        <v>163</v>
      </c>
      <c r="B203" s="61" t="s">
        <v>155</v>
      </c>
      <c r="C203" s="62">
        <f>0.4*0.12</f>
        <v>4.8000000000000001E-2</v>
      </c>
      <c r="D203" s="62" t="s">
        <v>164</v>
      </c>
      <c r="E203" s="55">
        <f>ROUND(E202*C203,2)</f>
        <v>12</v>
      </c>
      <c r="F203" s="124">
        <f t="shared" si="10"/>
        <v>0</v>
      </c>
      <c r="G203" s="53"/>
      <c r="H203" s="149"/>
      <c r="I203" s="124">
        <f t="shared" si="11"/>
        <v>0</v>
      </c>
      <c r="J203" s="53">
        <f t="shared" si="12"/>
        <v>0</v>
      </c>
      <c r="K203" s="149">
        <f t="shared" si="13"/>
        <v>0</v>
      </c>
      <c r="L203" s="190" t="s">
        <v>134</v>
      </c>
    </row>
    <row r="204" spans="1:21" s="54" customFormat="1" x14ac:dyDescent="0.25">
      <c r="A204" s="189">
        <f t="shared" si="14"/>
        <v>164</v>
      </c>
      <c r="B204" s="61" t="s">
        <v>245</v>
      </c>
      <c r="C204" s="62">
        <f>0.45*0.12</f>
        <v>5.3999999999999999E-2</v>
      </c>
      <c r="D204" s="62" t="s">
        <v>164</v>
      </c>
      <c r="E204" s="55">
        <f>ROUND(E202*C204,2)</f>
        <v>13.5</v>
      </c>
      <c r="F204" s="124">
        <f t="shared" si="10"/>
        <v>0</v>
      </c>
      <c r="G204" s="53"/>
      <c r="H204" s="149"/>
      <c r="I204" s="124">
        <f t="shared" si="11"/>
        <v>0</v>
      </c>
      <c r="J204" s="53">
        <f t="shared" si="12"/>
        <v>0</v>
      </c>
      <c r="K204" s="149">
        <f t="shared" si="13"/>
        <v>0</v>
      </c>
      <c r="L204" s="190" t="s">
        <v>134</v>
      </c>
    </row>
    <row r="205" spans="1:21" s="58" customFormat="1" x14ac:dyDescent="0.25">
      <c r="A205" s="181"/>
      <c r="B205" s="101" t="s">
        <v>201</v>
      </c>
      <c r="C205" s="101"/>
      <c r="D205" s="101"/>
      <c r="E205" s="108"/>
      <c r="F205" s="108"/>
      <c r="G205" s="155"/>
      <c r="H205" s="145"/>
      <c r="I205" s="108"/>
      <c r="J205" s="155"/>
      <c r="K205" s="145"/>
      <c r="L205" s="182"/>
      <c r="M205" s="56" t="s">
        <v>202</v>
      </c>
    </row>
    <row r="206" spans="1:21" s="58" customFormat="1" x14ac:dyDescent="0.25">
      <c r="A206" s="183"/>
      <c r="B206" s="96" t="s">
        <v>165</v>
      </c>
      <c r="C206" s="96"/>
      <c r="D206" s="96"/>
      <c r="E206" s="109"/>
      <c r="F206" s="109"/>
      <c r="G206" s="156"/>
      <c r="H206" s="146"/>
      <c r="I206" s="109"/>
      <c r="J206" s="156"/>
      <c r="K206" s="146"/>
      <c r="L206" s="184"/>
      <c r="M206" s="56" t="s">
        <v>168</v>
      </c>
    </row>
    <row r="207" spans="1:21" s="58" customFormat="1" x14ac:dyDescent="0.25">
      <c r="A207" s="185"/>
      <c r="B207" s="110" t="s">
        <v>154</v>
      </c>
      <c r="C207" s="97"/>
      <c r="D207" s="98"/>
      <c r="E207" s="110"/>
      <c r="F207" s="110"/>
      <c r="G207" s="157"/>
      <c r="H207" s="147"/>
      <c r="I207" s="110"/>
      <c r="J207" s="157"/>
      <c r="K207" s="147"/>
      <c r="L207" s="186"/>
    </row>
    <row r="208" spans="1:21" s="58" customFormat="1" x14ac:dyDescent="0.25">
      <c r="A208" s="187" t="s">
        <v>275</v>
      </c>
      <c r="B208" s="102" t="s">
        <v>175</v>
      </c>
      <c r="C208" s="95"/>
      <c r="D208" s="95" t="s">
        <v>88</v>
      </c>
      <c r="E208" s="104">
        <v>13.1</v>
      </c>
      <c r="F208" s="105">
        <f t="shared" ref="F208:F267" si="15">G208+H208</f>
        <v>0</v>
      </c>
      <c r="G208" s="158"/>
      <c r="H208" s="148"/>
      <c r="I208" s="105">
        <f t="shared" ref="I208:I267" si="16">J208+K208</f>
        <v>0</v>
      </c>
      <c r="J208" s="158">
        <f t="shared" ref="J208:J267" si="17">G208*E208</f>
        <v>0</v>
      </c>
      <c r="K208" s="148">
        <f t="shared" ref="K208:K267" si="18">H208*E208</f>
        <v>0</v>
      </c>
      <c r="L208" s="188"/>
    </row>
    <row r="209" spans="1:12" s="54" customFormat="1" x14ac:dyDescent="0.25">
      <c r="A209" s="189">
        <f t="shared" si="14"/>
        <v>166</v>
      </c>
      <c r="B209" s="61" t="s">
        <v>234</v>
      </c>
      <c r="C209" s="62">
        <f>5</f>
        <v>5</v>
      </c>
      <c r="D209" s="62" t="s">
        <v>161</v>
      </c>
      <c r="E209" s="55">
        <f>ROUND(E208*C209,2)</f>
        <v>65.5</v>
      </c>
      <c r="F209" s="124">
        <f t="shared" si="15"/>
        <v>0</v>
      </c>
      <c r="G209" s="53"/>
      <c r="H209" s="149"/>
      <c r="I209" s="124">
        <f t="shared" si="16"/>
        <v>0</v>
      </c>
      <c r="J209" s="53">
        <f t="shared" si="17"/>
        <v>0</v>
      </c>
      <c r="K209" s="149">
        <f t="shared" si="18"/>
        <v>0</v>
      </c>
      <c r="L209" s="190" t="s">
        <v>134</v>
      </c>
    </row>
    <row r="210" spans="1:12" x14ac:dyDescent="0.25">
      <c r="A210" s="189">
        <f t="shared" si="14"/>
        <v>167</v>
      </c>
      <c r="B210" s="61" t="s">
        <v>173</v>
      </c>
      <c r="C210" s="63">
        <v>2.2000000000000002</v>
      </c>
      <c r="D210" s="62" t="s">
        <v>88</v>
      </c>
      <c r="E210" s="55">
        <f>ROUND(E208*C210,2)</f>
        <v>28.82</v>
      </c>
      <c r="F210" s="124">
        <f t="shared" si="15"/>
        <v>0</v>
      </c>
      <c r="G210" s="53"/>
      <c r="H210" s="149"/>
      <c r="I210" s="124">
        <f t="shared" si="16"/>
        <v>0</v>
      </c>
      <c r="J210" s="53">
        <f t="shared" si="17"/>
        <v>0</v>
      </c>
      <c r="K210" s="149">
        <f t="shared" si="18"/>
        <v>0</v>
      </c>
      <c r="L210" s="190" t="s">
        <v>134</v>
      </c>
    </row>
    <row r="211" spans="1:12" s="58" customFormat="1" x14ac:dyDescent="0.25">
      <c r="A211" s="191">
        <f t="shared" si="14"/>
        <v>168</v>
      </c>
      <c r="B211" s="102" t="s">
        <v>174</v>
      </c>
      <c r="C211" s="95"/>
      <c r="D211" s="95" t="s">
        <v>88</v>
      </c>
      <c r="E211" s="104">
        <v>13.1</v>
      </c>
      <c r="F211" s="105">
        <f t="shared" si="15"/>
        <v>0</v>
      </c>
      <c r="G211" s="158"/>
      <c r="H211" s="148"/>
      <c r="I211" s="105">
        <f t="shared" si="16"/>
        <v>0</v>
      </c>
      <c r="J211" s="158">
        <f t="shared" si="17"/>
        <v>0</v>
      </c>
      <c r="K211" s="148">
        <f t="shared" si="18"/>
        <v>0</v>
      </c>
      <c r="L211" s="188"/>
    </row>
    <row r="212" spans="1:12" s="54" customFormat="1" x14ac:dyDescent="0.25">
      <c r="A212" s="189">
        <f t="shared" si="14"/>
        <v>169</v>
      </c>
      <c r="B212" s="61" t="s">
        <v>235</v>
      </c>
      <c r="C212" s="62">
        <f>(30/1000+60/1000)/2</f>
        <v>4.4999999999999998E-2</v>
      </c>
      <c r="D212" s="62" t="s">
        <v>161</v>
      </c>
      <c r="E212" s="55">
        <f>ROUND(E211*C212,2)</f>
        <v>0.59</v>
      </c>
      <c r="F212" s="124">
        <f t="shared" si="15"/>
        <v>0</v>
      </c>
      <c r="G212" s="53"/>
      <c r="H212" s="149"/>
      <c r="I212" s="124">
        <f t="shared" si="16"/>
        <v>0</v>
      </c>
      <c r="J212" s="53">
        <f t="shared" si="17"/>
        <v>0</v>
      </c>
      <c r="K212" s="149">
        <f t="shared" si="18"/>
        <v>0</v>
      </c>
      <c r="L212" s="190" t="s">
        <v>134</v>
      </c>
    </row>
    <row r="213" spans="1:12" s="54" customFormat="1" x14ac:dyDescent="0.25">
      <c r="A213" s="189">
        <f t="shared" si="14"/>
        <v>170</v>
      </c>
      <c r="B213" s="61" t="s">
        <v>236</v>
      </c>
      <c r="C213" s="62">
        <v>4.2</v>
      </c>
      <c r="D213" s="62" t="s">
        <v>161</v>
      </c>
      <c r="E213" s="55">
        <f>ROUND(E211*C213,2)</f>
        <v>55.02</v>
      </c>
      <c r="F213" s="124">
        <f t="shared" si="15"/>
        <v>0</v>
      </c>
      <c r="G213" s="53"/>
      <c r="H213" s="149"/>
      <c r="I213" s="124">
        <f t="shared" si="16"/>
        <v>0</v>
      </c>
      <c r="J213" s="53">
        <f t="shared" si="17"/>
        <v>0</v>
      </c>
      <c r="K213" s="149">
        <f t="shared" si="18"/>
        <v>0</v>
      </c>
      <c r="L213" s="190" t="s">
        <v>134</v>
      </c>
    </row>
    <row r="214" spans="1:12" s="54" customFormat="1" x14ac:dyDescent="0.25">
      <c r="A214" s="189">
        <f t="shared" si="14"/>
        <v>171</v>
      </c>
      <c r="B214" s="61" t="s">
        <v>237</v>
      </c>
      <c r="C214" s="62">
        <v>0.3</v>
      </c>
      <c r="D214" s="62" t="s">
        <v>161</v>
      </c>
      <c r="E214" s="55">
        <f>ROUND(E211*C214,2)</f>
        <v>3.93</v>
      </c>
      <c r="F214" s="124">
        <f t="shared" si="15"/>
        <v>0</v>
      </c>
      <c r="G214" s="53"/>
      <c r="H214" s="149"/>
      <c r="I214" s="124">
        <f t="shared" si="16"/>
        <v>0</v>
      </c>
      <c r="J214" s="53">
        <f t="shared" si="17"/>
        <v>0</v>
      </c>
      <c r="K214" s="149">
        <f t="shared" si="18"/>
        <v>0</v>
      </c>
      <c r="L214" s="190" t="s">
        <v>134</v>
      </c>
    </row>
    <row r="215" spans="1:12" s="54" customFormat="1" ht="47.25" x14ac:dyDescent="0.25">
      <c r="A215" s="189">
        <f t="shared" si="14"/>
        <v>172</v>
      </c>
      <c r="B215" s="61" t="s">
        <v>238</v>
      </c>
      <c r="C215" s="62">
        <f>1.1</f>
        <v>1.1000000000000001</v>
      </c>
      <c r="D215" s="62" t="s">
        <v>88</v>
      </c>
      <c r="E215" s="55">
        <f>ROUND(E211*C215,2)</f>
        <v>14.41</v>
      </c>
      <c r="F215" s="124">
        <f t="shared" si="15"/>
        <v>0</v>
      </c>
      <c r="G215" s="53"/>
      <c r="H215" s="149"/>
      <c r="I215" s="124">
        <f t="shared" si="16"/>
        <v>0</v>
      </c>
      <c r="J215" s="53">
        <f t="shared" si="17"/>
        <v>0</v>
      </c>
      <c r="K215" s="149">
        <f t="shared" si="18"/>
        <v>0</v>
      </c>
      <c r="L215" s="192" t="s">
        <v>137</v>
      </c>
    </row>
    <row r="216" spans="1:12" s="58" customFormat="1" x14ac:dyDescent="0.25">
      <c r="A216" s="185"/>
      <c r="B216" s="110" t="s">
        <v>259</v>
      </c>
      <c r="C216" s="97"/>
      <c r="D216" s="98"/>
      <c r="E216" s="110"/>
      <c r="F216" s="110"/>
      <c r="G216" s="157"/>
      <c r="H216" s="147"/>
      <c r="I216" s="110"/>
      <c r="J216" s="157"/>
      <c r="K216" s="147"/>
      <c r="L216" s="186"/>
    </row>
    <row r="217" spans="1:12" s="58" customFormat="1" x14ac:dyDescent="0.25">
      <c r="A217" s="191">
        <v>173</v>
      </c>
      <c r="B217" s="102" t="s">
        <v>174</v>
      </c>
      <c r="C217" s="95"/>
      <c r="D217" s="95" t="s">
        <v>88</v>
      </c>
      <c r="E217" s="104">
        <f>9.11</f>
        <v>9.11</v>
      </c>
      <c r="F217" s="105">
        <f t="shared" si="15"/>
        <v>0</v>
      </c>
      <c r="G217" s="158"/>
      <c r="H217" s="148"/>
      <c r="I217" s="105">
        <f t="shared" si="16"/>
        <v>0</v>
      </c>
      <c r="J217" s="158">
        <f t="shared" si="17"/>
        <v>0</v>
      </c>
      <c r="K217" s="148">
        <f t="shared" si="18"/>
        <v>0</v>
      </c>
      <c r="L217" s="188"/>
    </row>
    <row r="218" spans="1:12" s="54" customFormat="1" x14ac:dyDescent="0.25">
      <c r="A218" s="189">
        <f t="shared" ref="A218:A279" si="19">A217+1</f>
        <v>174</v>
      </c>
      <c r="B218" s="61" t="s">
        <v>235</v>
      </c>
      <c r="C218" s="62">
        <f>(30/1000+60/1000)/2</f>
        <v>4.4999999999999998E-2</v>
      </c>
      <c r="D218" s="62" t="s">
        <v>161</v>
      </c>
      <c r="E218" s="55">
        <f>ROUND(E217*C218,2)</f>
        <v>0.41</v>
      </c>
      <c r="F218" s="124">
        <f t="shared" si="15"/>
        <v>0</v>
      </c>
      <c r="G218" s="53"/>
      <c r="H218" s="149"/>
      <c r="I218" s="124">
        <f t="shared" si="16"/>
        <v>0</v>
      </c>
      <c r="J218" s="53">
        <f t="shared" si="17"/>
        <v>0</v>
      </c>
      <c r="K218" s="149">
        <f t="shared" si="18"/>
        <v>0</v>
      </c>
      <c r="L218" s="190" t="s">
        <v>134</v>
      </c>
    </row>
    <row r="219" spans="1:12" s="54" customFormat="1" x14ac:dyDescent="0.25">
      <c r="A219" s="189">
        <f t="shared" si="19"/>
        <v>175</v>
      </c>
      <c r="B219" s="61" t="s">
        <v>236</v>
      </c>
      <c r="C219" s="62">
        <v>4.2</v>
      </c>
      <c r="D219" s="62" t="s">
        <v>161</v>
      </c>
      <c r="E219" s="55">
        <f>ROUND(E217*C219,2)</f>
        <v>38.26</v>
      </c>
      <c r="F219" s="124">
        <f t="shared" si="15"/>
        <v>0</v>
      </c>
      <c r="G219" s="53"/>
      <c r="H219" s="149"/>
      <c r="I219" s="124">
        <f t="shared" si="16"/>
        <v>0</v>
      </c>
      <c r="J219" s="53">
        <f t="shared" si="17"/>
        <v>0</v>
      </c>
      <c r="K219" s="149">
        <f t="shared" si="18"/>
        <v>0</v>
      </c>
      <c r="L219" s="190" t="s">
        <v>134</v>
      </c>
    </row>
    <row r="220" spans="1:12" s="54" customFormat="1" x14ac:dyDescent="0.25">
      <c r="A220" s="189">
        <f t="shared" si="19"/>
        <v>176</v>
      </c>
      <c r="B220" s="61" t="s">
        <v>237</v>
      </c>
      <c r="C220" s="62">
        <v>0.3</v>
      </c>
      <c r="D220" s="62" t="s">
        <v>161</v>
      </c>
      <c r="E220" s="55">
        <f>ROUND(E217*C220,2)</f>
        <v>2.73</v>
      </c>
      <c r="F220" s="124">
        <f t="shared" si="15"/>
        <v>0</v>
      </c>
      <c r="G220" s="53"/>
      <c r="H220" s="149"/>
      <c r="I220" s="124">
        <f t="shared" si="16"/>
        <v>0</v>
      </c>
      <c r="J220" s="53">
        <f t="shared" si="17"/>
        <v>0</v>
      </c>
      <c r="K220" s="149">
        <f t="shared" si="18"/>
        <v>0</v>
      </c>
      <c r="L220" s="190" t="s">
        <v>134</v>
      </c>
    </row>
    <row r="221" spans="1:12" s="54" customFormat="1" ht="47.25" x14ac:dyDescent="0.25">
      <c r="A221" s="189">
        <f t="shared" si="19"/>
        <v>177</v>
      </c>
      <c r="B221" s="61" t="s">
        <v>238</v>
      </c>
      <c r="C221" s="62">
        <f>1.1</f>
        <v>1.1000000000000001</v>
      </c>
      <c r="D221" s="62" t="s">
        <v>88</v>
      </c>
      <c r="E221" s="55">
        <f>ROUND(E217*C221,2)</f>
        <v>10.02</v>
      </c>
      <c r="F221" s="124">
        <f t="shared" si="15"/>
        <v>0</v>
      </c>
      <c r="G221" s="53"/>
      <c r="H221" s="149"/>
      <c r="I221" s="124">
        <f t="shared" si="16"/>
        <v>0</v>
      </c>
      <c r="J221" s="53">
        <f t="shared" si="17"/>
        <v>0</v>
      </c>
      <c r="K221" s="149">
        <f t="shared" si="18"/>
        <v>0</v>
      </c>
      <c r="L221" s="192" t="s">
        <v>137</v>
      </c>
    </row>
    <row r="222" spans="1:12" s="58" customFormat="1" x14ac:dyDescent="0.25">
      <c r="A222" s="194"/>
      <c r="B222" s="107" t="s">
        <v>177</v>
      </c>
      <c r="C222" s="107"/>
      <c r="D222" s="107"/>
      <c r="E222" s="107"/>
      <c r="F222" s="107"/>
      <c r="G222" s="159"/>
      <c r="H222" s="150"/>
      <c r="I222" s="107"/>
      <c r="J222" s="159"/>
      <c r="K222" s="150"/>
      <c r="L222" s="195"/>
    </row>
    <row r="223" spans="1:12" s="58" customFormat="1" x14ac:dyDescent="0.25">
      <c r="A223" s="185"/>
      <c r="B223" s="110" t="s">
        <v>166</v>
      </c>
      <c r="C223" s="98"/>
      <c r="D223" s="98"/>
      <c r="E223" s="110"/>
      <c r="F223" s="110"/>
      <c r="G223" s="157"/>
      <c r="H223" s="147"/>
      <c r="I223" s="110"/>
      <c r="J223" s="157"/>
      <c r="K223" s="147"/>
      <c r="L223" s="196"/>
    </row>
    <row r="224" spans="1:12" s="56" customFormat="1" x14ac:dyDescent="0.25">
      <c r="A224" s="191">
        <v>178</v>
      </c>
      <c r="B224" s="102" t="s">
        <v>162</v>
      </c>
      <c r="C224" s="106"/>
      <c r="D224" s="106" t="s">
        <v>88</v>
      </c>
      <c r="E224" s="105">
        <v>727</v>
      </c>
      <c r="F224" s="105">
        <f t="shared" si="15"/>
        <v>0</v>
      </c>
      <c r="G224" s="158"/>
      <c r="H224" s="148"/>
      <c r="I224" s="105">
        <f t="shared" si="16"/>
        <v>0</v>
      </c>
      <c r="J224" s="158">
        <f t="shared" si="17"/>
        <v>0</v>
      </c>
      <c r="K224" s="148">
        <f t="shared" si="18"/>
        <v>0</v>
      </c>
      <c r="L224" s="188"/>
    </row>
    <row r="225" spans="1:13" x14ac:dyDescent="0.25">
      <c r="A225" s="189">
        <f t="shared" si="19"/>
        <v>179</v>
      </c>
      <c r="B225" s="61" t="s">
        <v>239</v>
      </c>
      <c r="C225" s="63">
        <v>6</v>
      </c>
      <c r="D225" s="63" t="s">
        <v>161</v>
      </c>
      <c r="E225" s="55">
        <f>ROUND(E224*C225,2)</f>
        <v>4362</v>
      </c>
      <c r="F225" s="124">
        <f t="shared" si="15"/>
        <v>0</v>
      </c>
      <c r="G225" s="53"/>
      <c r="H225" s="149"/>
      <c r="I225" s="124">
        <f t="shared" si="16"/>
        <v>0</v>
      </c>
      <c r="J225" s="53">
        <f t="shared" si="17"/>
        <v>0</v>
      </c>
      <c r="K225" s="149">
        <f t="shared" si="18"/>
        <v>0</v>
      </c>
      <c r="L225" s="190" t="s">
        <v>134</v>
      </c>
    </row>
    <row r="226" spans="1:13" s="58" customFormat="1" x14ac:dyDescent="0.25">
      <c r="A226" s="191">
        <f t="shared" si="19"/>
        <v>180</v>
      </c>
      <c r="B226" s="102" t="s">
        <v>167</v>
      </c>
      <c r="C226" s="95"/>
      <c r="D226" s="95" t="s">
        <v>88</v>
      </c>
      <c r="E226" s="105">
        <f>72.69/0.1</f>
        <v>726.9</v>
      </c>
      <c r="F226" s="105">
        <f t="shared" si="15"/>
        <v>0</v>
      </c>
      <c r="G226" s="158"/>
      <c r="H226" s="148"/>
      <c r="I226" s="105">
        <f t="shared" si="16"/>
        <v>0</v>
      </c>
      <c r="J226" s="158">
        <f t="shared" si="17"/>
        <v>0</v>
      </c>
      <c r="K226" s="148">
        <f t="shared" si="18"/>
        <v>0</v>
      </c>
      <c r="L226" s="188"/>
    </row>
    <row r="227" spans="1:13" s="54" customFormat="1" x14ac:dyDescent="0.25">
      <c r="A227" s="189">
        <f t="shared" si="19"/>
        <v>181</v>
      </c>
      <c r="B227" s="61" t="s">
        <v>160</v>
      </c>
      <c r="C227" s="59">
        <f>1.03*0.1</f>
        <v>0.10299999999999999</v>
      </c>
      <c r="D227" s="60" t="s">
        <v>159</v>
      </c>
      <c r="E227" s="55">
        <f>ROUND(E226*C227,2)</f>
        <v>74.87</v>
      </c>
      <c r="F227" s="124">
        <f t="shared" si="15"/>
        <v>0</v>
      </c>
      <c r="G227" s="53"/>
      <c r="H227" s="149"/>
      <c r="I227" s="124">
        <f t="shared" si="16"/>
        <v>0</v>
      </c>
      <c r="J227" s="53">
        <f t="shared" si="17"/>
        <v>0</v>
      </c>
      <c r="K227" s="149">
        <f t="shared" si="18"/>
        <v>0</v>
      </c>
      <c r="L227" s="192" t="s">
        <v>137</v>
      </c>
    </row>
    <row r="228" spans="1:13" s="56" customFormat="1" ht="31.5" x14ac:dyDescent="0.25">
      <c r="A228" s="191">
        <f t="shared" si="19"/>
        <v>182</v>
      </c>
      <c r="B228" s="102" t="s">
        <v>176</v>
      </c>
      <c r="C228" s="106"/>
      <c r="D228" s="95" t="s">
        <v>88</v>
      </c>
      <c r="E228" s="105">
        <v>726.88</v>
      </c>
      <c r="F228" s="105">
        <f t="shared" si="15"/>
        <v>0</v>
      </c>
      <c r="G228" s="158"/>
      <c r="H228" s="148"/>
      <c r="I228" s="105">
        <f t="shared" si="16"/>
        <v>0</v>
      </c>
      <c r="J228" s="158">
        <f t="shared" si="17"/>
        <v>0</v>
      </c>
      <c r="K228" s="148">
        <f t="shared" si="18"/>
        <v>0</v>
      </c>
      <c r="L228" s="188"/>
    </row>
    <row r="229" spans="1:13" x14ac:dyDescent="0.25">
      <c r="A229" s="189">
        <f t="shared" si="19"/>
        <v>183</v>
      </c>
      <c r="B229" s="61" t="s">
        <v>240</v>
      </c>
      <c r="C229" s="63">
        <v>6</v>
      </c>
      <c r="D229" s="62" t="s">
        <v>161</v>
      </c>
      <c r="E229" s="55">
        <f>ROUND(E228*C229,2)</f>
        <v>4361.28</v>
      </c>
      <c r="F229" s="124">
        <f t="shared" si="15"/>
        <v>0</v>
      </c>
      <c r="G229" s="53"/>
      <c r="H229" s="149"/>
      <c r="I229" s="124">
        <f t="shared" si="16"/>
        <v>0</v>
      </c>
      <c r="J229" s="53">
        <f t="shared" si="17"/>
        <v>0</v>
      </c>
      <c r="K229" s="149">
        <f t="shared" si="18"/>
        <v>0</v>
      </c>
      <c r="L229" s="190" t="s">
        <v>134</v>
      </c>
    </row>
    <row r="230" spans="1:13" x14ac:dyDescent="0.25">
      <c r="A230" s="189">
        <f t="shared" si="19"/>
        <v>184</v>
      </c>
      <c r="B230" s="61" t="s">
        <v>172</v>
      </c>
      <c r="C230" s="63">
        <v>1.1000000000000001</v>
      </c>
      <c r="D230" s="62" t="s">
        <v>88</v>
      </c>
      <c r="E230" s="55">
        <f>ROUND(E228*C230,2)</f>
        <v>799.57</v>
      </c>
      <c r="F230" s="124">
        <f t="shared" si="15"/>
        <v>0</v>
      </c>
      <c r="G230" s="53"/>
      <c r="H230" s="149"/>
      <c r="I230" s="124">
        <f t="shared" si="16"/>
        <v>0</v>
      </c>
      <c r="J230" s="53">
        <f t="shared" si="17"/>
        <v>0</v>
      </c>
      <c r="K230" s="149">
        <f t="shared" si="18"/>
        <v>0</v>
      </c>
      <c r="L230" s="190" t="s">
        <v>134</v>
      </c>
    </row>
    <row r="231" spans="1:13" s="56" customFormat="1" x14ac:dyDescent="0.25">
      <c r="A231" s="191">
        <f t="shared" si="19"/>
        <v>185</v>
      </c>
      <c r="B231" s="102" t="s">
        <v>163</v>
      </c>
      <c r="C231" s="106"/>
      <c r="D231" s="106" t="s">
        <v>88</v>
      </c>
      <c r="E231" s="105">
        <v>726.87</v>
      </c>
      <c r="F231" s="105">
        <f t="shared" si="15"/>
        <v>0</v>
      </c>
      <c r="G231" s="158"/>
      <c r="H231" s="148"/>
      <c r="I231" s="105">
        <f t="shared" si="16"/>
        <v>0</v>
      </c>
      <c r="J231" s="158">
        <f t="shared" si="17"/>
        <v>0</v>
      </c>
      <c r="K231" s="148">
        <f t="shared" si="18"/>
        <v>0</v>
      </c>
      <c r="L231" s="188"/>
    </row>
    <row r="232" spans="1:13" x14ac:dyDescent="0.25">
      <c r="A232" s="189">
        <f t="shared" si="19"/>
        <v>186</v>
      </c>
      <c r="B232" s="61" t="s">
        <v>243</v>
      </c>
      <c r="C232" s="63">
        <v>2</v>
      </c>
      <c r="D232" s="63" t="s">
        <v>161</v>
      </c>
      <c r="E232" s="55">
        <f>ROUND(E231*C232,2)</f>
        <v>1453.74</v>
      </c>
      <c r="F232" s="124">
        <f t="shared" si="15"/>
        <v>0</v>
      </c>
      <c r="G232" s="53"/>
      <c r="H232" s="149"/>
      <c r="I232" s="124">
        <f t="shared" si="16"/>
        <v>0</v>
      </c>
      <c r="J232" s="53">
        <f t="shared" si="17"/>
        <v>0</v>
      </c>
      <c r="K232" s="149">
        <f t="shared" si="18"/>
        <v>0</v>
      </c>
      <c r="L232" s="190" t="s">
        <v>134</v>
      </c>
    </row>
    <row r="233" spans="1:13" s="56" customFormat="1" x14ac:dyDescent="0.25">
      <c r="A233" s="191">
        <f>A232+1</f>
        <v>187</v>
      </c>
      <c r="B233" s="102" t="s">
        <v>254</v>
      </c>
      <c r="C233" s="106"/>
      <c r="D233" s="106" t="s">
        <v>88</v>
      </c>
      <c r="E233" s="105">
        <v>727</v>
      </c>
      <c r="F233" s="105">
        <f t="shared" si="15"/>
        <v>0</v>
      </c>
      <c r="G233" s="158"/>
      <c r="H233" s="148"/>
      <c r="I233" s="105">
        <f t="shared" si="16"/>
        <v>0</v>
      </c>
      <c r="J233" s="158">
        <f t="shared" si="17"/>
        <v>0</v>
      </c>
      <c r="K233" s="148">
        <f t="shared" si="18"/>
        <v>0</v>
      </c>
      <c r="L233" s="188"/>
    </row>
    <row r="234" spans="1:13" s="54" customFormat="1" x14ac:dyDescent="0.25">
      <c r="A234" s="193">
        <f>A233+1</f>
        <v>188</v>
      </c>
      <c r="B234" s="61" t="s">
        <v>195</v>
      </c>
      <c r="C234" s="62">
        <v>0.4</v>
      </c>
      <c r="D234" s="62" t="s">
        <v>164</v>
      </c>
      <c r="E234" s="55">
        <f>ROUND(E233*C234,2)</f>
        <v>290.8</v>
      </c>
      <c r="F234" s="124">
        <f t="shared" si="15"/>
        <v>0</v>
      </c>
      <c r="G234" s="53"/>
      <c r="H234" s="149"/>
      <c r="I234" s="124">
        <f t="shared" si="16"/>
        <v>0</v>
      </c>
      <c r="J234" s="53">
        <f t="shared" si="17"/>
        <v>0</v>
      </c>
      <c r="K234" s="149">
        <f t="shared" si="18"/>
        <v>0</v>
      </c>
      <c r="L234" s="190" t="s">
        <v>134</v>
      </c>
    </row>
    <row r="235" spans="1:13" s="56" customFormat="1" x14ac:dyDescent="0.25">
      <c r="A235" s="191">
        <f>A234+1</f>
        <v>189</v>
      </c>
      <c r="B235" s="102" t="s">
        <v>255</v>
      </c>
      <c r="C235" s="106"/>
      <c r="D235" s="106" t="s">
        <v>88</v>
      </c>
      <c r="E235" s="105">
        <v>726.87</v>
      </c>
      <c r="F235" s="105">
        <f t="shared" si="15"/>
        <v>0</v>
      </c>
      <c r="G235" s="158"/>
      <c r="H235" s="148"/>
      <c r="I235" s="105">
        <f t="shared" si="16"/>
        <v>0</v>
      </c>
      <c r="J235" s="158">
        <f t="shared" si="17"/>
        <v>0</v>
      </c>
      <c r="K235" s="148">
        <f t="shared" si="18"/>
        <v>0</v>
      </c>
      <c r="L235" s="188"/>
    </row>
    <row r="236" spans="1:13" s="54" customFormat="1" x14ac:dyDescent="0.25">
      <c r="A236" s="193">
        <f>A235+1</f>
        <v>190</v>
      </c>
      <c r="B236" s="61" t="s">
        <v>245</v>
      </c>
      <c r="C236" s="62">
        <v>0.45</v>
      </c>
      <c r="D236" s="62" t="s">
        <v>164</v>
      </c>
      <c r="E236" s="55">
        <f>ROUND(E235*C236,2)</f>
        <v>327.08999999999997</v>
      </c>
      <c r="F236" s="124">
        <f t="shared" si="15"/>
        <v>0</v>
      </c>
      <c r="G236" s="53"/>
      <c r="H236" s="149"/>
      <c r="I236" s="124">
        <f t="shared" si="16"/>
        <v>0</v>
      </c>
      <c r="J236" s="53">
        <f t="shared" si="17"/>
        <v>0</v>
      </c>
      <c r="K236" s="149">
        <f t="shared" si="18"/>
        <v>0</v>
      </c>
      <c r="L236" s="190" t="s">
        <v>134</v>
      </c>
    </row>
    <row r="237" spans="1:13" s="58" customFormat="1" x14ac:dyDescent="0.25">
      <c r="A237" s="185"/>
      <c r="B237" s="110" t="s">
        <v>156</v>
      </c>
      <c r="C237" s="98"/>
      <c r="D237" s="98"/>
      <c r="E237" s="110"/>
      <c r="F237" s="110"/>
      <c r="G237" s="157"/>
      <c r="H237" s="147"/>
      <c r="I237" s="110"/>
      <c r="J237" s="157"/>
      <c r="K237" s="147"/>
      <c r="L237" s="196"/>
    </row>
    <row r="238" spans="1:13" s="56" customFormat="1" x14ac:dyDescent="0.25">
      <c r="A238" s="187" t="s">
        <v>276</v>
      </c>
      <c r="B238" s="102" t="s">
        <v>182</v>
      </c>
      <c r="C238" s="106"/>
      <c r="D238" s="106" t="s">
        <v>231</v>
      </c>
      <c r="E238" s="105">
        <f>89.21/0.2</f>
        <v>446.05</v>
      </c>
      <c r="F238" s="105">
        <f t="shared" si="15"/>
        <v>0</v>
      </c>
      <c r="G238" s="158"/>
      <c r="H238" s="148"/>
      <c r="I238" s="105">
        <f t="shared" si="16"/>
        <v>0</v>
      </c>
      <c r="J238" s="158">
        <f t="shared" si="17"/>
        <v>0</v>
      </c>
      <c r="K238" s="148">
        <f t="shared" si="18"/>
        <v>0</v>
      </c>
      <c r="L238" s="188"/>
      <c r="M238" s="65"/>
    </row>
    <row r="239" spans="1:13" s="54" customFormat="1" x14ac:dyDescent="0.25">
      <c r="A239" s="189">
        <f t="shared" si="19"/>
        <v>192</v>
      </c>
      <c r="B239" s="61" t="s">
        <v>247</v>
      </c>
      <c r="C239" s="62">
        <v>0.3</v>
      </c>
      <c r="D239" s="62" t="s">
        <v>164</v>
      </c>
      <c r="E239" s="55">
        <f>ROUND(E238*0.2*C239,2)</f>
        <v>26.76</v>
      </c>
      <c r="F239" s="124">
        <f t="shared" si="15"/>
        <v>0</v>
      </c>
      <c r="G239" s="53"/>
      <c r="H239" s="149"/>
      <c r="I239" s="124">
        <f t="shared" si="16"/>
        <v>0</v>
      </c>
      <c r="J239" s="53">
        <f t="shared" si="17"/>
        <v>0</v>
      </c>
      <c r="K239" s="149">
        <f t="shared" si="18"/>
        <v>0</v>
      </c>
      <c r="L239" s="190" t="s">
        <v>134</v>
      </c>
    </row>
    <row r="240" spans="1:13" s="58" customFormat="1" x14ac:dyDescent="0.25">
      <c r="A240" s="185"/>
      <c r="B240" s="110" t="s">
        <v>183</v>
      </c>
      <c r="C240" s="98"/>
      <c r="D240" s="98"/>
      <c r="E240" s="110"/>
      <c r="F240" s="110"/>
      <c r="G240" s="157"/>
      <c r="H240" s="147"/>
      <c r="I240" s="110"/>
      <c r="J240" s="157"/>
      <c r="K240" s="147"/>
      <c r="L240" s="186"/>
    </row>
    <row r="241" spans="1:17" s="56" customFormat="1" ht="31.5" x14ac:dyDescent="0.25">
      <c r="A241" s="191">
        <v>193</v>
      </c>
      <c r="B241" s="102" t="s">
        <v>176</v>
      </c>
      <c r="C241" s="106"/>
      <c r="D241" s="95" t="s">
        <v>231</v>
      </c>
      <c r="E241" s="105">
        <f>30/0.12</f>
        <v>250</v>
      </c>
      <c r="F241" s="105">
        <f t="shared" si="15"/>
        <v>0</v>
      </c>
      <c r="G241" s="158"/>
      <c r="H241" s="148"/>
      <c r="I241" s="105">
        <f t="shared" si="16"/>
        <v>0</v>
      </c>
      <c r="J241" s="158">
        <f t="shared" si="17"/>
        <v>0</v>
      </c>
      <c r="K241" s="148">
        <f t="shared" si="18"/>
        <v>0</v>
      </c>
      <c r="L241" s="188"/>
      <c r="M241" s="56" t="s">
        <v>232</v>
      </c>
    </row>
    <row r="242" spans="1:17" x14ac:dyDescent="0.25">
      <c r="A242" s="189">
        <f t="shared" si="19"/>
        <v>194</v>
      </c>
      <c r="B242" s="61" t="s">
        <v>242</v>
      </c>
      <c r="C242" s="63">
        <f>6*0.12</f>
        <v>0.72</v>
      </c>
      <c r="D242" s="62" t="s">
        <v>161</v>
      </c>
      <c r="E242" s="55">
        <f>ROUND(E241*C242,2)</f>
        <v>180</v>
      </c>
      <c r="F242" s="124">
        <f t="shared" si="15"/>
        <v>0</v>
      </c>
      <c r="G242" s="53"/>
      <c r="H242" s="149"/>
      <c r="I242" s="124">
        <f t="shared" si="16"/>
        <v>0</v>
      </c>
      <c r="J242" s="53">
        <f t="shared" si="17"/>
        <v>0</v>
      </c>
      <c r="K242" s="149">
        <f t="shared" si="18"/>
        <v>0</v>
      </c>
      <c r="L242" s="190" t="s">
        <v>134</v>
      </c>
    </row>
    <row r="243" spans="1:17" x14ac:dyDescent="0.25">
      <c r="A243" s="189">
        <f t="shared" si="19"/>
        <v>195</v>
      </c>
      <c r="B243" s="61" t="s">
        <v>194</v>
      </c>
      <c r="C243" s="63">
        <f>1.1*0.12</f>
        <v>0.13200000000000001</v>
      </c>
      <c r="D243" s="62" t="s">
        <v>88</v>
      </c>
      <c r="E243" s="55">
        <f>ROUND(E241*C243,2)</f>
        <v>33</v>
      </c>
      <c r="F243" s="124">
        <f t="shared" si="15"/>
        <v>0</v>
      </c>
      <c r="G243" s="53"/>
      <c r="H243" s="149"/>
      <c r="I243" s="124">
        <f t="shared" si="16"/>
        <v>0</v>
      </c>
      <c r="J243" s="53">
        <f t="shared" si="17"/>
        <v>0</v>
      </c>
      <c r="K243" s="149">
        <f t="shared" si="18"/>
        <v>0</v>
      </c>
      <c r="L243" s="190" t="s">
        <v>134</v>
      </c>
    </row>
    <row r="244" spans="1:17" s="56" customFormat="1" x14ac:dyDescent="0.25">
      <c r="A244" s="187">
        <f t="shared" si="19"/>
        <v>196</v>
      </c>
      <c r="B244" s="102" t="s">
        <v>171</v>
      </c>
      <c r="C244" s="106"/>
      <c r="D244" s="95" t="s">
        <v>231</v>
      </c>
      <c r="E244" s="105">
        <f>30/0.12</f>
        <v>250</v>
      </c>
      <c r="F244" s="105">
        <f t="shared" si="15"/>
        <v>0</v>
      </c>
      <c r="G244" s="158"/>
      <c r="H244" s="148"/>
      <c r="I244" s="105">
        <f t="shared" si="16"/>
        <v>0</v>
      </c>
      <c r="J244" s="158">
        <f t="shared" si="17"/>
        <v>0</v>
      </c>
      <c r="K244" s="148">
        <f t="shared" si="18"/>
        <v>0</v>
      </c>
      <c r="L244" s="188"/>
    </row>
    <row r="245" spans="1:17" s="54" customFormat="1" x14ac:dyDescent="0.25">
      <c r="A245" s="189">
        <f t="shared" si="19"/>
        <v>197</v>
      </c>
      <c r="B245" s="61" t="s">
        <v>155</v>
      </c>
      <c r="C245" s="62">
        <f>0.4*0.12</f>
        <v>4.8000000000000001E-2</v>
      </c>
      <c r="D245" s="62" t="s">
        <v>164</v>
      </c>
      <c r="E245" s="55">
        <f>ROUND(E244*C245,2)</f>
        <v>12</v>
      </c>
      <c r="F245" s="124">
        <f t="shared" si="15"/>
        <v>0</v>
      </c>
      <c r="G245" s="53"/>
      <c r="H245" s="149"/>
      <c r="I245" s="124">
        <f t="shared" si="16"/>
        <v>0</v>
      </c>
      <c r="J245" s="53">
        <f t="shared" si="17"/>
        <v>0</v>
      </c>
      <c r="K245" s="149">
        <f t="shared" si="18"/>
        <v>0</v>
      </c>
      <c r="L245" s="190" t="s">
        <v>134</v>
      </c>
    </row>
    <row r="246" spans="1:17" s="54" customFormat="1" x14ac:dyDescent="0.25">
      <c r="A246" s="189">
        <f t="shared" si="19"/>
        <v>198</v>
      </c>
      <c r="B246" s="61" t="s">
        <v>245</v>
      </c>
      <c r="C246" s="62">
        <f>0.45*0.12</f>
        <v>5.3999999999999999E-2</v>
      </c>
      <c r="D246" s="62" t="s">
        <v>164</v>
      </c>
      <c r="E246" s="55">
        <f>ROUND(E244*C246,2)</f>
        <v>13.5</v>
      </c>
      <c r="F246" s="124">
        <f t="shared" si="15"/>
        <v>0</v>
      </c>
      <c r="G246" s="53"/>
      <c r="H246" s="149"/>
      <c r="I246" s="124">
        <f t="shared" si="16"/>
        <v>0</v>
      </c>
      <c r="J246" s="53">
        <f t="shared" si="17"/>
        <v>0</v>
      </c>
      <c r="K246" s="149">
        <f t="shared" si="18"/>
        <v>0</v>
      </c>
      <c r="L246" s="190" t="s">
        <v>134</v>
      </c>
    </row>
    <row r="247" spans="1:17" s="58" customFormat="1" x14ac:dyDescent="0.25">
      <c r="A247" s="198"/>
      <c r="B247" s="100" t="s">
        <v>219</v>
      </c>
      <c r="C247" s="100"/>
      <c r="D247" s="100"/>
      <c r="E247" s="100"/>
      <c r="F247" s="100"/>
      <c r="G247" s="161"/>
      <c r="H247" s="152"/>
      <c r="I247" s="100"/>
      <c r="J247" s="161"/>
      <c r="K247" s="152"/>
      <c r="L247" s="199"/>
    </row>
    <row r="248" spans="1:17" s="76" customFormat="1" x14ac:dyDescent="0.25">
      <c r="A248" s="185"/>
      <c r="B248" s="98" t="s">
        <v>157</v>
      </c>
      <c r="C248" s="98"/>
      <c r="D248" s="98"/>
      <c r="E248" s="110"/>
      <c r="F248" s="110"/>
      <c r="G248" s="157"/>
      <c r="H248" s="147"/>
      <c r="I248" s="110"/>
      <c r="J248" s="157"/>
      <c r="K248" s="147"/>
      <c r="L248" s="186"/>
      <c r="M248" s="76" t="s">
        <v>213</v>
      </c>
    </row>
    <row r="249" spans="1:17" s="76" customFormat="1" ht="47.25" x14ac:dyDescent="0.25">
      <c r="A249" s="191">
        <v>199</v>
      </c>
      <c r="B249" s="103" t="s">
        <v>220</v>
      </c>
      <c r="C249" s="95"/>
      <c r="D249" s="95" t="s">
        <v>158</v>
      </c>
      <c r="E249" s="104">
        <v>1</v>
      </c>
      <c r="F249" s="105">
        <f t="shared" si="15"/>
        <v>0</v>
      </c>
      <c r="G249" s="158"/>
      <c r="H249" s="148"/>
      <c r="I249" s="105">
        <f t="shared" si="16"/>
        <v>0</v>
      </c>
      <c r="J249" s="158">
        <f t="shared" si="17"/>
        <v>0</v>
      </c>
      <c r="K249" s="148">
        <f t="shared" si="18"/>
        <v>0</v>
      </c>
      <c r="L249" s="188"/>
      <c r="M249" s="75" t="s">
        <v>214</v>
      </c>
      <c r="N249" s="75"/>
    </row>
    <row r="250" spans="1:17" s="79" customFormat="1" x14ac:dyDescent="0.25">
      <c r="A250" s="189">
        <f t="shared" si="19"/>
        <v>200</v>
      </c>
      <c r="B250" s="77" t="s">
        <v>221</v>
      </c>
      <c r="C250" s="62">
        <v>0.45</v>
      </c>
      <c r="D250" s="62" t="s">
        <v>164</v>
      </c>
      <c r="E250" s="55">
        <f>ROUND(23.31*C250,2)</f>
        <v>10.49</v>
      </c>
      <c r="F250" s="124">
        <f t="shared" si="15"/>
        <v>0</v>
      </c>
      <c r="G250" s="53"/>
      <c r="H250" s="149"/>
      <c r="I250" s="124">
        <f t="shared" si="16"/>
        <v>0</v>
      </c>
      <c r="J250" s="53">
        <f t="shared" si="17"/>
        <v>0</v>
      </c>
      <c r="K250" s="149">
        <f t="shared" si="18"/>
        <v>0</v>
      </c>
      <c r="L250" s="190" t="s">
        <v>134</v>
      </c>
      <c r="M250" s="78">
        <f>4.57*5.1</f>
        <v>23.31</v>
      </c>
      <c r="N250" s="78"/>
    </row>
    <row r="251" spans="1:17" s="76" customFormat="1" ht="47.25" x14ac:dyDescent="0.25">
      <c r="A251" s="191">
        <f t="shared" si="19"/>
        <v>201</v>
      </c>
      <c r="B251" s="103" t="s">
        <v>217</v>
      </c>
      <c r="C251" s="95"/>
      <c r="D251" s="95" t="s">
        <v>158</v>
      </c>
      <c r="E251" s="104">
        <v>1</v>
      </c>
      <c r="F251" s="105">
        <f t="shared" si="15"/>
        <v>0</v>
      </c>
      <c r="G251" s="158"/>
      <c r="H251" s="148"/>
      <c r="I251" s="105">
        <f t="shared" si="16"/>
        <v>0</v>
      </c>
      <c r="J251" s="158">
        <f t="shared" si="17"/>
        <v>0</v>
      </c>
      <c r="K251" s="148">
        <f t="shared" si="18"/>
        <v>0</v>
      </c>
      <c r="L251" s="188"/>
      <c r="M251" s="75" t="s">
        <v>216</v>
      </c>
    </row>
    <row r="252" spans="1:17" s="79" customFormat="1" x14ac:dyDescent="0.25">
      <c r="A252" s="189">
        <f t="shared" si="19"/>
        <v>202</v>
      </c>
      <c r="B252" s="77" t="s">
        <v>221</v>
      </c>
      <c r="C252" s="62">
        <v>0.45</v>
      </c>
      <c r="D252" s="62" t="s">
        <v>164</v>
      </c>
      <c r="E252" s="55">
        <f>ROUND(44.15*C252,2)</f>
        <v>19.87</v>
      </c>
      <c r="F252" s="124">
        <f t="shared" si="15"/>
        <v>0</v>
      </c>
      <c r="G252" s="53"/>
      <c r="H252" s="149"/>
      <c r="I252" s="124">
        <f t="shared" si="16"/>
        <v>0</v>
      </c>
      <c r="J252" s="53">
        <f t="shared" si="17"/>
        <v>0</v>
      </c>
      <c r="K252" s="149">
        <f t="shared" si="18"/>
        <v>0</v>
      </c>
      <c r="L252" s="190" t="s">
        <v>134</v>
      </c>
      <c r="M252" s="80">
        <f>4.95*8.92</f>
        <v>44.15</v>
      </c>
    </row>
    <row r="253" spans="1:17" s="76" customFormat="1" ht="47.25" x14ac:dyDescent="0.25">
      <c r="A253" s="191">
        <f t="shared" si="19"/>
        <v>203</v>
      </c>
      <c r="B253" s="103" t="s">
        <v>218</v>
      </c>
      <c r="C253" s="95"/>
      <c r="D253" s="95" t="s">
        <v>158</v>
      </c>
      <c r="E253" s="104">
        <v>1</v>
      </c>
      <c r="F253" s="105">
        <f t="shared" si="15"/>
        <v>0</v>
      </c>
      <c r="G253" s="158"/>
      <c r="H253" s="148"/>
      <c r="I253" s="105">
        <f t="shared" si="16"/>
        <v>0</v>
      </c>
      <c r="J253" s="158">
        <f t="shared" si="17"/>
        <v>0</v>
      </c>
      <c r="K253" s="148">
        <f t="shared" si="18"/>
        <v>0</v>
      </c>
      <c r="L253" s="188"/>
      <c r="M253" s="75" t="s">
        <v>215</v>
      </c>
    </row>
    <row r="254" spans="1:17" s="79" customFormat="1" x14ac:dyDescent="0.25">
      <c r="A254" s="189">
        <f t="shared" si="19"/>
        <v>204</v>
      </c>
      <c r="B254" s="77" t="s">
        <v>221</v>
      </c>
      <c r="C254" s="62">
        <v>0.45</v>
      </c>
      <c r="D254" s="62" t="s">
        <v>164</v>
      </c>
      <c r="E254" s="55">
        <f>ROUND(71.75*C254,2)</f>
        <v>32.29</v>
      </c>
      <c r="F254" s="124">
        <f t="shared" si="15"/>
        <v>0</v>
      </c>
      <c r="G254" s="53"/>
      <c r="H254" s="149"/>
      <c r="I254" s="124">
        <f t="shared" si="16"/>
        <v>0</v>
      </c>
      <c r="J254" s="53">
        <f t="shared" si="17"/>
        <v>0</v>
      </c>
      <c r="K254" s="149">
        <f t="shared" si="18"/>
        <v>0</v>
      </c>
      <c r="L254" s="190" t="s">
        <v>134</v>
      </c>
      <c r="M254" s="79">
        <f>8.75*8.2</f>
        <v>71.75</v>
      </c>
    </row>
    <row r="255" spans="1:17" s="58" customFormat="1" x14ac:dyDescent="0.25">
      <c r="A255" s="185"/>
      <c r="B255" s="98" t="s">
        <v>224</v>
      </c>
      <c r="C255" s="98"/>
      <c r="D255" s="98"/>
      <c r="E255" s="110"/>
      <c r="F255" s="110"/>
      <c r="G255" s="157"/>
      <c r="H255" s="147"/>
      <c r="I255" s="110"/>
      <c r="J255" s="157"/>
      <c r="K255" s="147"/>
      <c r="L255" s="196"/>
      <c r="M255" s="56"/>
    </row>
    <row r="256" spans="1:17" s="58" customFormat="1" ht="31.5" x14ac:dyDescent="0.25">
      <c r="A256" s="191">
        <v>205</v>
      </c>
      <c r="B256" s="102" t="s">
        <v>226</v>
      </c>
      <c r="C256" s="95"/>
      <c r="D256" s="95" t="s">
        <v>88</v>
      </c>
      <c r="E256" s="104">
        <f>R260</f>
        <v>59.18</v>
      </c>
      <c r="F256" s="105">
        <f t="shared" si="15"/>
        <v>0</v>
      </c>
      <c r="G256" s="158"/>
      <c r="H256" s="148"/>
      <c r="I256" s="105">
        <f t="shared" si="16"/>
        <v>0</v>
      </c>
      <c r="J256" s="158">
        <f t="shared" si="17"/>
        <v>0</v>
      </c>
      <c r="K256" s="148">
        <f t="shared" si="18"/>
        <v>0</v>
      </c>
      <c r="L256" s="188"/>
      <c r="M256" s="68" t="s">
        <v>229</v>
      </c>
      <c r="Q256" s="58" t="s">
        <v>228</v>
      </c>
    </row>
    <row r="257" spans="1:23" s="81" customFormat="1" ht="31.5" x14ac:dyDescent="0.25">
      <c r="A257" s="193">
        <f t="shared" si="19"/>
        <v>206</v>
      </c>
      <c r="B257" s="64" t="s">
        <v>250</v>
      </c>
      <c r="C257" s="62" t="s">
        <v>225</v>
      </c>
      <c r="D257" s="62" t="s">
        <v>158</v>
      </c>
      <c r="E257" s="55">
        <v>36</v>
      </c>
      <c r="F257" s="124">
        <f t="shared" si="15"/>
        <v>0</v>
      </c>
      <c r="G257" s="53"/>
      <c r="H257" s="149"/>
      <c r="I257" s="124">
        <f t="shared" si="16"/>
        <v>0</v>
      </c>
      <c r="J257" s="53">
        <f t="shared" si="17"/>
        <v>0</v>
      </c>
      <c r="K257" s="149">
        <f t="shared" si="18"/>
        <v>0</v>
      </c>
      <c r="L257" s="190" t="s">
        <v>134</v>
      </c>
      <c r="M257" s="67" t="s">
        <v>197</v>
      </c>
      <c r="Q257" s="79" t="s">
        <v>227</v>
      </c>
      <c r="R257" s="79" t="s">
        <v>212</v>
      </c>
      <c r="S257" s="79"/>
      <c r="T257" s="79" t="s">
        <v>206</v>
      </c>
      <c r="U257" s="79" t="s">
        <v>207</v>
      </c>
      <c r="V257" s="79" t="s">
        <v>208</v>
      </c>
      <c r="W257" s="79" t="s">
        <v>209</v>
      </c>
    </row>
    <row r="258" spans="1:23" s="81" customFormat="1" x14ac:dyDescent="0.25">
      <c r="A258" s="193">
        <f t="shared" si="19"/>
        <v>207</v>
      </c>
      <c r="B258" s="64" t="s">
        <v>252</v>
      </c>
      <c r="C258" s="62" t="s">
        <v>225</v>
      </c>
      <c r="D258" s="62" t="s">
        <v>158</v>
      </c>
      <c r="E258" s="55">
        <v>6</v>
      </c>
      <c r="F258" s="124">
        <f t="shared" si="15"/>
        <v>0</v>
      </c>
      <c r="G258" s="53"/>
      <c r="H258" s="149"/>
      <c r="I258" s="124">
        <f t="shared" si="16"/>
        <v>0</v>
      </c>
      <c r="J258" s="53">
        <f t="shared" si="17"/>
        <v>0</v>
      </c>
      <c r="K258" s="149">
        <f t="shared" si="18"/>
        <v>0</v>
      </c>
      <c r="L258" s="190" t="s">
        <v>134</v>
      </c>
      <c r="Q258" s="69" t="s">
        <v>210</v>
      </c>
      <c r="R258" s="69">
        <f>SUM(T258:W258)</f>
        <v>58.5</v>
      </c>
      <c r="S258" s="69"/>
      <c r="T258" s="69">
        <v>42.83</v>
      </c>
      <c r="U258" s="69">
        <v>6.62</v>
      </c>
      <c r="V258" s="69">
        <v>9.0500000000000007</v>
      </c>
      <c r="W258" s="79"/>
    </row>
    <row r="259" spans="1:23" s="81" customFormat="1" x14ac:dyDescent="0.25">
      <c r="A259" s="193">
        <f t="shared" si="19"/>
        <v>208</v>
      </c>
      <c r="B259" s="64" t="s">
        <v>251</v>
      </c>
      <c r="C259" s="62" t="s">
        <v>225</v>
      </c>
      <c r="D259" s="62" t="s">
        <v>158</v>
      </c>
      <c r="E259" s="55">
        <v>72</v>
      </c>
      <c r="F259" s="124">
        <f t="shared" si="15"/>
        <v>0</v>
      </c>
      <c r="G259" s="53"/>
      <c r="H259" s="149"/>
      <c r="I259" s="124">
        <f t="shared" si="16"/>
        <v>0</v>
      </c>
      <c r="J259" s="53">
        <f t="shared" si="17"/>
        <v>0</v>
      </c>
      <c r="K259" s="149">
        <f t="shared" si="18"/>
        <v>0</v>
      </c>
      <c r="L259" s="190" t="s">
        <v>134</v>
      </c>
      <c r="Q259" s="57" t="s">
        <v>211</v>
      </c>
      <c r="R259" s="69">
        <f>SUM(T259:W259)</f>
        <v>0.68</v>
      </c>
      <c r="S259" s="57"/>
      <c r="T259" s="57">
        <v>0.42</v>
      </c>
      <c r="U259" s="57">
        <v>0.26</v>
      </c>
      <c r="V259" s="57"/>
      <c r="W259" s="79"/>
    </row>
    <row r="260" spans="1:23" s="81" customFormat="1" ht="18.75" x14ac:dyDescent="0.3">
      <c r="A260" s="193">
        <f t="shared" si="19"/>
        <v>209</v>
      </c>
      <c r="B260" s="64" t="s">
        <v>253</v>
      </c>
      <c r="C260" s="62" t="s">
        <v>225</v>
      </c>
      <c r="D260" s="62" t="s">
        <v>89</v>
      </c>
      <c r="E260" s="55">
        <v>119.6</v>
      </c>
      <c r="F260" s="124">
        <f t="shared" si="15"/>
        <v>0</v>
      </c>
      <c r="G260" s="53"/>
      <c r="H260" s="149"/>
      <c r="I260" s="124">
        <f t="shared" si="16"/>
        <v>0</v>
      </c>
      <c r="J260" s="53">
        <f t="shared" si="17"/>
        <v>0</v>
      </c>
      <c r="K260" s="149">
        <f t="shared" si="18"/>
        <v>0</v>
      </c>
      <c r="L260" s="190" t="s">
        <v>134</v>
      </c>
      <c r="Q260" s="81" t="s">
        <v>138</v>
      </c>
      <c r="R260" s="82">
        <f>R258+R259</f>
        <v>59.18</v>
      </c>
    </row>
    <row r="261" spans="1:23" s="58" customFormat="1" x14ac:dyDescent="0.25">
      <c r="A261" s="185"/>
      <c r="B261" s="98" t="s">
        <v>191</v>
      </c>
      <c r="C261" s="98"/>
      <c r="D261" s="98"/>
      <c r="E261" s="110"/>
      <c r="F261" s="110"/>
      <c r="G261" s="157"/>
      <c r="H261" s="147"/>
      <c r="I261" s="110"/>
      <c r="J261" s="157"/>
      <c r="K261" s="147"/>
      <c r="L261" s="196"/>
      <c r="M261" s="56" t="s">
        <v>186</v>
      </c>
      <c r="P261" s="56"/>
      <c r="Q261" s="56"/>
      <c r="R261" s="56"/>
      <c r="S261" s="56"/>
      <c r="T261" s="56"/>
      <c r="U261" s="56"/>
      <c r="V261" s="56"/>
    </row>
    <row r="262" spans="1:23" s="56" customFormat="1" x14ac:dyDescent="0.25">
      <c r="A262" s="187" t="s">
        <v>277</v>
      </c>
      <c r="B262" s="102" t="s">
        <v>185</v>
      </c>
      <c r="C262" s="106"/>
      <c r="D262" s="106" t="s">
        <v>89</v>
      </c>
      <c r="E262" s="105">
        <v>28.5</v>
      </c>
      <c r="F262" s="105">
        <f t="shared" si="15"/>
        <v>0</v>
      </c>
      <c r="G262" s="158"/>
      <c r="H262" s="148"/>
      <c r="I262" s="105">
        <f t="shared" si="16"/>
        <v>0</v>
      </c>
      <c r="J262" s="158">
        <f t="shared" si="17"/>
        <v>0</v>
      </c>
      <c r="K262" s="148">
        <f t="shared" si="18"/>
        <v>0</v>
      </c>
      <c r="L262" s="188"/>
    </row>
    <row r="263" spans="1:23" s="54" customFormat="1" x14ac:dyDescent="0.25">
      <c r="A263" s="189">
        <f t="shared" si="19"/>
        <v>211</v>
      </c>
      <c r="B263" s="61" t="s">
        <v>248</v>
      </c>
      <c r="C263" s="62">
        <f>0.6/5</f>
        <v>0.12</v>
      </c>
      <c r="D263" s="62" t="s">
        <v>164</v>
      </c>
      <c r="E263" s="55">
        <f>ROUND(E262*C263,2)</f>
        <v>3.42</v>
      </c>
      <c r="F263" s="124">
        <f t="shared" si="15"/>
        <v>0</v>
      </c>
      <c r="G263" s="53"/>
      <c r="H263" s="149"/>
      <c r="I263" s="124">
        <f t="shared" si="16"/>
        <v>0</v>
      </c>
      <c r="J263" s="53">
        <f t="shared" si="17"/>
        <v>0</v>
      </c>
      <c r="K263" s="149">
        <f t="shared" si="18"/>
        <v>0</v>
      </c>
      <c r="L263" s="190" t="s">
        <v>134</v>
      </c>
    </row>
    <row r="264" spans="1:23" s="54" customFormat="1" x14ac:dyDescent="0.25">
      <c r="A264" s="189">
        <f t="shared" si="19"/>
        <v>212</v>
      </c>
      <c r="B264" s="61" t="s">
        <v>249</v>
      </c>
      <c r="C264" s="62">
        <v>1.05</v>
      </c>
      <c r="D264" s="62" t="s">
        <v>89</v>
      </c>
      <c r="E264" s="55">
        <f>ROUND(E262*C264,2)</f>
        <v>29.93</v>
      </c>
      <c r="F264" s="124">
        <f t="shared" si="15"/>
        <v>0</v>
      </c>
      <c r="G264" s="53"/>
      <c r="H264" s="149"/>
      <c r="I264" s="124">
        <f t="shared" si="16"/>
        <v>0</v>
      </c>
      <c r="J264" s="53">
        <f t="shared" si="17"/>
        <v>0</v>
      </c>
      <c r="K264" s="149">
        <f t="shared" si="18"/>
        <v>0</v>
      </c>
      <c r="L264" s="190" t="s">
        <v>134</v>
      </c>
    </row>
    <row r="265" spans="1:23" s="58" customFormat="1" x14ac:dyDescent="0.25">
      <c r="A265" s="185"/>
      <c r="B265" s="98" t="s">
        <v>192</v>
      </c>
      <c r="C265" s="98"/>
      <c r="D265" s="98"/>
      <c r="E265" s="110"/>
      <c r="F265" s="110"/>
      <c r="G265" s="157"/>
      <c r="H265" s="147"/>
      <c r="I265" s="110"/>
      <c r="J265" s="157"/>
      <c r="K265" s="147"/>
      <c r="L265" s="196"/>
      <c r="M265" s="56" t="s">
        <v>187</v>
      </c>
    </row>
    <row r="266" spans="1:23" s="56" customFormat="1" x14ac:dyDescent="0.25">
      <c r="A266" s="187" t="s">
        <v>278</v>
      </c>
      <c r="B266" s="102" t="s">
        <v>184</v>
      </c>
      <c r="C266" s="106"/>
      <c r="D266" s="106" t="s">
        <v>89</v>
      </c>
      <c r="E266" s="105">
        <v>2740.44</v>
      </c>
      <c r="F266" s="105">
        <f t="shared" si="15"/>
        <v>0</v>
      </c>
      <c r="G266" s="158"/>
      <c r="H266" s="148"/>
      <c r="I266" s="105">
        <f t="shared" si="16"/>
        <v>0</v>
      </c>
      <c r="J266" s="158">
        <f t="shared" si="17"/>
        <v>0</v>
      </c>
      <c r="K266" s="148">
        <f t="shared" si="18"/>
        <v>0</v>
      </c>
      <c r="L266" s="188"/>
    </row>
    <row r="267" spans="1:23" s="54" customFormat="1" x14ac:dyDescent="0.25">
      <c r="A267" s="189">
        <f t="shared" si="19"/>
        <v>214</v>
      </c>
      <c r="B267" s="61" t="s">
        <v>248</v>
      </c>
      <c r="C267" s="62">
        <f>0.6/5</f>
        <v>0.12</v>
      </c>
      <c r="D267" s="62" t="s">
        <v>164</v>
      </c>
      <c r="E267" s="55">
        <f>ROUND(E266*C267,2)</f>
        <v>328.85</v>
      </c>
      <c r="F267" s="124">
        <f t="shared" si="15"/>
        <v>0</v>
      </c>
      <c r="G267" s="53"/>
      <c r="H267" s="149"/>
      <c r="I267" s="124">
        <f t="shared" si="16"/>
        <v>0</v>
      </c>
      <c r="J267" s="53">
        <f t="shared" si="17"/>
        <v>0</v>
      </c>
      <c r="K267" s="149">
        <f t="shared" si="18"/>
        <v>0</v>
      </c>
      <c r="L267" s="190" t="s">
        <v>134</v>
      </c>
    </row>
    <row r="268" spans="1:23" s="58" customFormat="1" x14ac:dyDescent="0.25">
      <c r="A268" s="185"/>
      <c r="B268" s="98" t="s">
        <v>193</v>
      </c>
      <c r="C268" s="98"/>
      <c r="D268" s="98"/>
      <c r="E268" s="110"/>
      <c r="F268" s="110"/>
      <c r="G268" s="157"/>
      <c r="H268" s="147"/>
      <c r="I268" s="110"/>
      <c r="J268" s="157"/>
      <c r="K268" s="147"/>
      <c r="L268" s="196"/>
      <c r="M268" s="56" t="s">
        <v>196</v>
      </c>
    </row>
    <row r="269" spans="1:23" s="56" customFormat="1" x14ac:dyDescent="0.25">
      <c r="A269" s="187" t="s">
        <v>279</v>
      </c>
      <c r="B269" s="102" t="s">
        <v>189</v>
      </c>
      <c r="C269" s="106"/>
      <c r="D269" s="106" t="s">
        <v>89</v>
      </c>
      <c r="E269" s="105">
        <v>79.09</v>
      </c>
      <c r="F269" s="105">
        <f t="shared" ref="F269:F279" si="20">G269+H269</f>
        <v>0</v>
      </c>
      <c r="G269" s="158"/>
      <c r="H269" s="148"/>
      <c r="I269" s="105">
        <f t="shared" ref="I269:I279" si="21">J269+K269</f>
        <v>0</v>
      </c>
      <c r="J269" s="158">
        <f t="shared" ref="J269:J279" si="22">G269*E269</f>
        <v>0</v>
      </c>
      <c r="K269" s="148">
        <f t="shared" ref="K269:K279" si="23">H269*E269</f>
        <v>0</v>
      </c>
      <c r="L269" s="188"/>
    </row>
    <row r="270" spans="1:23" s="54" customFormat="1" x14ac:dyDescent="0.25">
      <c r="A270" s="189">
        <f t="shared" si="19"/>
        <v>216</v>
      </c>
      <c r="B270" s="61" t="s">
        <v>190</v>
      </c>
      <c r="C270" s="62">
        <f>1.03*0.23</f>
        <v>0.2369</v>
      </c>
      <c r="D270" s="62" t="s">
        <v>88</v>
      </c>
      <c r="E270" s="55">
        <f>ROUND(E269*C270,2)</f>
        <v>18.739999999999998</v>
      </c>
      <c r="F270" s="124">
        <f t="shared" si="20"/>
        <v>0</v>
      </c>
      <c r="G270" s="53"/>
      <c r="H270" s="149"/>
      <c r="I270" s="124">
        <f t="shared" si="21"/>
        <v>0</v>
      </c>
      <c r="J270" s="53">
        <f t="shared" si="22"/>
        <v>0</v>
      </c>
      <c r="K270" s="149">
        <f t="shared" si="23"/>
        <v>0</v>
      </c>
      <c r="L270" s="190" t="s">
        <v>134</v>
      </c>
    </row>
    <row r="271" spans="1:23" s="54" customFormat="1" x14ac:dyDescent="0.25">
      <c r="A271" s="189">
        <f t="shared" si="19"/>
        <v>217</v>
      </c>
      <c r="B271" s="61" t="s">
        <v>230</v>
      </c>
      <c r="C271" s="62">
        <f>1/0.5</f>
        <v>2</v>
      </c>
      <c r="D271" s="62" t="s">
        <v>158</v>
      </c>
      <c r="E271" s="55">
        <f>ROUND(E269*C271,0)</f>
        <v>158</v>
      </c>
      <c r="F271" s="124">
        <f t="shared" si="20"/>
        <v>0</v>
      </c>
      <c r="G271" s="53"/>
      <c r="H271" s="149"/>
      <c r="I271" s="124">
        <f t="shared" si="21"/>
        <v>0</v>
      </c>
      <c r="J271" s="53">
        <f t="shared" si="22"/>
        <v>0</v>
      </c>
      <c r="K271" s="149">
        <f t="shared" si="23"/>
        <v>0</v>
      </c>
      <c r="L271" s="190" t="s">
        <v>134</v>
      </c>
    </row>
    <row r="272" spans="1:23" s="56" customFormat="1" x14ac:dyDescent="0.25">
      <c r="A272" s="187">
        <f t="shared" si="19"/>
        <v>218</v>
      </c>
      <c r="B272" s="102" t="s">
        <v>188</v>
      </c>
      <c r="C272" s="106"/>
      <c r="D272" s="106" t="s">
        <v>89</v>
      </c>
      <c r="E272" s="105">
        <v>79.09</v>
      </c>
      <c r="F272" s="105">
        <f t="shared" si="20"/>
        <v>0</v>
      </c>
      <c r="G272" s="158"/>
      <c r="H272" s="148"/>
      <c r="I272" s="105">
        <f t="shared" si="21"/>
        <v>0</v>
      </c>
      <c r="J272" s="158">
        <f t="shared" si="22"/>
        <v>0</v>
      </c>
      <c r="K272" s="148">
        <f t="shared" si="23"/>
        <v>0</v>
      </c>
      <c r="L272" s="188"/>
    </row>
    <row r="273" spans="1:1023" s="54" customFormat="1" x14ac:dyDescent="0.25">
      <c r="A273" s="189">
        <f t="shared" si="19"/>
        <v>219</v>
      </c>
      <c r="B273" s="61" t="s">
        <v>248</v>
      </c>
      <c r="C273" s="62">
        <f>0.6/5</f>
        <v>0.12</v>
      </c>
      <c r="D273" s="62" t="s">
        <v>164</v>
      </c>
      <c r="E273" s="55">
        <f>ROUND(E272*C273,2)</f>
        <v>9.49</v>
      </c>
      <c r="F273" s="124">
        <f t="shared" si="20"/>
        <v>0</v>
      </c>
      <c r="G273" s="53"/>
      <c r="H273" s="149"/>
      <c r="I273" s="124">
        <f t="shared" si="21"/>
        <v>0</v>
      </c>
      <c r="J273" s="53">
        <f t="shared" si="22"/>
        <v>0</v>
      </c>
      <c r="K273" s="149">
        <f t="shared" si="23"/>
        <v>0</v>
      </c>
      <c r="L273" s="190" t="s">
        <v>134</v>
      </c>
    </row>
    <row r="274" spans="1:1023" s="56" customFormat="1" ht="31.5" x14ac:dyDescent="0.25">
      <c r="A274" s="191">
        <f t="shared" si="19"/>
        <v>220</v>
      </c>
      <c r="B274" s="102" t="s">
        <v>176</v>
      </c>
      <c r="C274" s="106"/>
      <c r="D274" s="95" t="s">
        <v>89</v>
      </c>
      <c r="E274" s="105">
        <v>79.09</v>
      </c>
      <c r="F274" s="105">
        <f t="shared" si="20"/>
        <v>0</v>
      </c>
      <c r="G274" s="158"/>
      <c r="H274" s="148"/>
      <c r="I274" s="105">
        <f t="shared" si="21"/>
        <v>0</v>
      </c>
      <c r="J274" s="158">
        <f t="shared" si="22"/>
        <v>0</v>
      </c>
      <c r="K274" s="148">
        <f t="shared" si="23"/>
        <v>0</v>
      </c>
      <c r="L274" s="188"/>
    </row>
    <row r="275" spans="1:1023" x14ac:dyDescent="0.25">
      <c r="A275" s="189">
        <f t="shared" si="19"/>
        <v>221</v>
      </c>
      <c r="B275" s="61" t="s">
        <v>240</v>
      </c>
      <c r="C275" s="63">
        <f>6*0.26</f>
        <v>1.56</v>
      </c>
      <c r="D275" s="62" t="s">
        <v>161</v>
      </c>
      <c r="E275" s="55">
        <f>ROUND(E274*C275,2)</f>
        <v>123.38</v>
      </c>
      <c r="F275" s="124">
        <f t="shared" si="20"/>
        <v>0</v>
      </c>
      <c r="G275" s="53"/>
      <c r="H275" s="149"/>
      <c r="I275" s="124">
        <f t="shared" si="21"/>
        <v>0</v>
      </c>
      <c r="J275" s="53">
        <f t="shared" si="22"/>
        <v>0</v>
      </c>
      <c r="K275" s="149">
        <f t="shared" si="23"/>
        <v>0</v>
      </c>
      <c r="L275" s="190" t="s">
        <v>134</v>
      </c>
    </row>
    <row r="276" spans="1:1023" x14ac:dyDescent="0.25">
      <c r="A276" s="189">
        <f t="shared" si="19"/>
        <v>222</v>
      </c>
      <c r="B276" s="61" t="s">
        <v>194</v>
      </c>
      <c r="C276" s="63">
        <f>1.1*0.26</f>
        <v>0.28599999999999998</v>
      </c>
      <c r="D276" s="62" t="s">
        <v>88</v>
      </c>
      <c r="E276" s="55">
        <f>ROUND(E274*C276,2)</f>
        <v>22.62</v>
      </c>
      <c r="F276" s="124">
        <f t="shared" si="20"/>
        <v>0</v>
      </c>
      <c r="G276" s="53"/>
      <c r="H276" s="149"/>
      <c r="I276" s="124">
        <f t="shared" si="21"/>
        <v>0</v>
      </c>
      <c r="J276" s="53">
        <f t="shared" si="22"/>
        <v>0</v>
      </c>
      <c r="K276" s="149">
        <f t="shared" si="23"/>
        <v>0</v>
      </c>
      <c r="L276" s="190" t="s">
        <v>134</v>
      </c>
    </row>
    <row r="277" spans="1:1023" s="56" customFormat="1" x14ac:dyDescent="0.25">
      <c r="A277" s="187">
        <f t="shared" si="19"/>
        <v>223</v>
      </c>
      <c r="B277" s="102" t="s">
        <v>171</v>
      </c>
      <c r="C277" s="106"/>
      <c r="D277" s="95" t="s">
        <v>89</v>
      </c>
      <c r="E277" s="105">
        <v>79.09</v>
      </c>
      <c r="F277" s="105">
        <f t="shared" si="20"/>
        <v>0</v>
      </c>
      <c r="G277" s="158"/>
      <c r="H277" s="148"/>
      <c r="I277" s="105">
        <f t="shared" si="21"/>
        <v>0</v>
      </c>
      <c r="J277" s="158">
        <f t="shared" si="22"/>
        <v>0</v>
      </c>
      <c r="K277" s="148">
        <f t="shared" si="23"/>
        <v>0</v>
      </c>
      <c r="L277" s="188"/>
    </row>
    <row r="278" spans="1:1023" s="54" customFormat="1" x14ac:dyDescent="0.25">
      <c r="A278" s="189">
        <f t="shared" si="19"/>
        <v>224</v>
      </c>
      <c r="B278" s="61" t="s">
        <v>244</v>
      </c>
      <c r="C278" s="62">
        <f>0.4*0.26</f>
        <v>0.104</v>
      </c>
      <c r="D278" s="62" t="s">
        <v>164</v>
      </c>
      <c r="E278" s="55">
        <f>ROUND(E277*C278,2)</f>
        <v>8.23</v>
      </c>
      <c r="F278" s="124">
        <f t="shared" si="20"/>
        <v>0</v>
      </c>
      <c r="G278" s="53"/>
      <c r="H278" s="149"/>
      <c r="I278" s="124">
        <f t="shared" si="21"/>
        <v>0</v>
      </c>
      <c r="J278" s="53">
        <f t="shared" si="22"/>
        <v>0</v>
      </c>
      <c r="K278" s="149">
        <f t="shared" si="23"/>
        <v>0</v>
      </c>
      <c r="L278" s="190" t="s">
        <v>134</v>
      </c>
    </row>
    <row r="279" spans="1:1023" s="54" customFormat="1" x14ac:dyDescent="0.25">
      <c r="A279" s="189">
        <f t="shared" si="19"/>
        <v>225</v>
      </c>
      <c r="B279" s="61" t="s">
        <v>245</v>
      </c>
      <c r="C279" s="62">
        <f>0.45*0.26</f>
        <v>0.11700000000000001</v>
      </c>
      <c r="D279" s="62" t="s">
        <v>164</v>
      </c>
      <c r="E279" s="55">
        <f>ROUND(E277*C279,2)</f>
        <v>9.25</v>
      </c>
      <c r="F279" s="124">
        <f t="shared" si="20"/>
        <v>0</v>
      </c>
      <c r="G279" s="53"/>
      <c r="H279" s="149"/>
      <c r="I279" s="124">
        <f t="shared" si="21"/>
        <v>0</v>
      </c>
      <c r="J279" s="53">
        <f t="shared" si="22"/>
        <v>0</v>
      </c>
      <c r="K279" s="149">
        <f t="shared" si="23"/>
        <v>0</v>
      </c>
      <c r="L279" s="190" t="s">
        <v>134</v>
      </c>
    </row>
    <row r="280" spans="1:1023" s="94" customFormat="1" x14ac:dyDescent="0.25">
      <c r="A280" s="204" t="s">
        <v>280</v>
      </c>
      <c r="B280" s="205"/>
      <c r="C280" s="205"/>
      <c r="D280" s="205"/>
      <c r="E280" s="205"/>
      <c r="F280" s="113"/>
      <c r="G280" s="55"/>
      <c r="H280" s="144"/>
      <c r="I280" s="113">
        <f>SUM(I12:I279)</f>
        <v>0</v>
      </c>
      <c r="J280" s="55">
        <f>SUM(J12:J279)</f>
        <v>0</v>
      </c>
      <c r="K280" s="144">
        <f>SUM(K12:K279)</f>
        <v>0</v>
      </c>
      <c r="L280" s="200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  <c r="AW280" s="74"/>
      <c r="AX280" s="74"/>
      <c r="AY280" s="74"/>
      <c r="AZ280" s="74"/>
      <c r="BA280" s="74"/>
      <c r="BB280" s="74"/>
      <c r="BC280" s="74"/>
      <c r="BD280" s="74"/>
      <c r="BE280" s="74"/>
      <c r="BF280" s="74"/>
      <c r="BG280" s="74"/>
      <c r="BH280" s="74"/>
      <c r="BI280" s="74"/>
      <c r="BJ280" s="74"/>
      <c r="BK280" s="74"/>
      <c r="BL280" s="74"/>
      <c r="BM280" s="74"/>
      <c r="BN280" s="74"/>
      <c r="BO280" s="74"/>
      <c r="BP280" s="74"/>
      <c r="BQ280" s="74"/>
      <c r="BR280" s="74"/>
      <c r="BS280" s="74"/>
      <c r="BT280" s="74"/>
      <c r="BU280" s="74"/>
      <c r="BV280" s="74"/>
      <c r="BW280" s="74"/>
      <c r="BX280" s="74"/>
      <c r="BY280" s="74"/>
      <c r="BZ280" s="74"/>
      <c r="CA280" s="74"/>
      <c r="CB280" s="74"/>
      <c r="CC280" s="74"/>
      <c r="CD280" s="74"/>
      <c r="CE280" s="74"/>
      <c r="CF280" s="74"/>
      <c r="CG280" s="74"/>
      <c r="CH280" s="74"/>
      <c r="CI280" s="74"/>
      <c r="CJ280" s="74"/>
      <c r="CK280" s="74"/>
      <c r="CL280" s="74"/>
      <c r="CM280" s="74"/>
      <c r="CN280" s="74"/>
      <c r="CO280" s="74"/>
      <c r="CP280" s="74"/>
      <c r="CQ280" s="74"/>
      <c r="CR280" s="74"/>
      <c r="CS280" s="74"/>
      <c r="CT280" s="74"/>
      <c r="CU280" s="74"/>
      <c r="CV280" s="74"/>
      <c r="CW280" s="74"/>
      <c r="CX280" s="74"/>
      <c r="CY280" s="74"/>
      <c r="CZ280" s="74"/>
      <c r="DA280" s="74"/>
      <c r="DB280" s="74"/>
      <c r="DC280" s="74"/>
      <c r="DD280" s="74"/>
      <c r="DE280" s="74"/>
      <c r="DF280" s="74"/>
      <c r="DG280" s="74"/>
      <c r="DH280" s="74"/>
      <c r="DI280" s="74"/>
      <c r="DJ280" s="74"/>
      <c r="DK280" s="74"/>
      <c r="DL280" s="74"/>
      <c r="DM280" s="74"/>
      <c r="DN280" s="74"/>
      <c r="DO280" s="74"/>
      <c r="DP280" s="74"/>
      <c r="DQ280" s="74"/>
      <c r="DR280" s="74"/>
      <c r="DS280" s="74"/>
      <c r="DT280" s="74"/>
      <c r="DU280" s="74"/>
      <c r="DV280" s="74"/>
      <c r="DW280" s="74"/>
      <c r="DX280" s="74"/>
      <c r="DY280" s="74"/>
      <c r="DZ280" s="74"/>
      <c r="EA280" s="74"/>
      <c r="EB280" s="74"/>
      <c r="EC280" s="74"/>
      <c r="ED280" s="74"/>
      <c r="EE280" s="74"/>
      <c r="EF280" s="74"/>
      <c r="EG280" s="74"/>
      <c r="EH280" s="74"/>
      <c r="EI280" s="74"/>
      <c r="EJ280" s="74"/>
      <c r="EK280" s="74"/>
      <c r="EL280" s="74"/>
      <c r="EM280" s="74"/>
      <c r="EN280" s="74"/>
      <c r="EO280" s="74"/>
      <c r="EP280" s="74"/>
      <c r="EQ280" s="74"/>
      <c r="ER280" s="74"/>
      <c r="ES280" s="74"/>
      <c r="ET280" s="74"/>
      <c r="EU280" s="74"/>
      <c r="EV280" s="74"/>
      <c r="EW280" s="74"/>
      <c r="EX280" s="74"/>
      <c r="EY280" s="74"/>
      <c r="EZ280" s="74"/>
      <c r="FA280" s="74"/>
      <c r="FB280" s="74"/>
      <c r="FC280" s="74"/>
      <c r="FD280" s="74"/>
      <c r="FE280" s="74"/>
      <c r="FF280" s="74"/>
      <c r="FG280" s="74"/>
      <c r="FH280" s="74"/>
      <c r="FI280" s="74"/>
      <c r="FJ280" s="74"/>
      <c r="FK280" s="74"/>
      <c r="FL280" s="74"/>
      <c r="FM280" s="74"/>
      <c r="FN280" s="74"/>
      <c r="FO280" s="74"/>
      <c r="FP280" s="74"/>
      <c r="FQ280" s="74"/>
      <c r="FR280" s="74"/>
      <c r="FS280" s="74"/>
      <c r="FT280" s="74"/>
      <c r="FU280" s="74"/>
      <c r="FV280" s="74"/>
      <c r="FW280" s="74"/>
      <c r="FX280" s="74"/>
      <c r="FY280" s="74"/>
      <c r="FZ280" s="74"/>
      <c r="GA280" s="74"/>
      <c r="GB280" s="74"/>
      <c r="GC280" s="74"/>
      <c r="GD280" s="74"/>
      <c r="GE280" s="74"/>
      <c r="GF280" s="74"/>
      <c r="GG280" s="74"/>
      <c r="GH280" s="74"/>
      <c r="GI280" s="74"/>
      <c r="GJ280" s="74"/>
      <c r="GK280" s="74"/>
      <c r="GL280" s="74"/>
      <c r="GM280" s="74"/>
      <c r="GN280" s="74"/>
      <c r="GO280" s="74"/>
      <c r="GP280" s="74"/>
      <c r="GQ280" s="74"/>
      <c r="GR280" s="74"/>
      <c r="GS280" s="74"/>
      <c r="GT280" s="74"/>
      <c r="GU280" s="74"/>
      <c r="GV280" s="74"/>
      <c r="GW280" s="74"/>
      <c r="GX280" s="74"/>
      <c r="GY280" s="74"/>
      <c r="GZ280" s="74"/>
      <c r="HA280" s="74"/>
      <c r="HB280" s="74"/>
      <c r="HC280" s="74"/>
      <c r="HD280" s="74"/>
      <c r="HE280" s="74"/>
      <c r="HF280" s="74"/>
      <c r="HG280" s="74"/>
      <c r="HH280" s="74"/>
      <c r="HI280" s="74"/>
      <c r="HJ280" s="74"/>
      <c r="HK280" s="74"/>
      <c r="HL280" s="74"/>
      <c r="HM280" s="74"/>
      <c r="HN280" s="74"/>
      <c r="HO280" s="74"/>
      <c r="HP280" s="74"/>
      <c r="HQ280" s="74"/>
      <c r="HR280" s="74"/>
      <c r="HS280" s="74"/>
      <c r="HT280" s="74"/>
      <c r="HU280" s="74"/>
      <c r="HV280" s="74"/>
      <c r="HW280" s="74"/>
      <c r="HX280" s="74"/>
      <c r="HY280" s="74"/>
      <c r="HZ280" s="74"/>
      <c r="IA280" s="74"/>
      <c r="IB280" s="74"/>
      <c r="IC280" s="74"/>
      <c r="ID280" s="74"/>
      <c r="IE280" s="74"/>
      <c r="IF280" s="74"/>
      <c r="IG280" s="74"/>
      <c r="IH280" s="74"/>
      <c r="II280" s="74"/>
      <c r="IJ280" s="74"/>
      <c r="IK280" s="74"/>
      <c r="IL280" s="74"/>
      <c r="IM280" s="74"/>
      <c r="IN280" s="74"/>
      <c r="IO280" s="74"/>
      <c r="IP280" s="74"/>
      <c r="IQ280" s="74"/>
      <c r="IR280" s="74"/>
      <c r="IS280" s="74"/>
      <c r="IT280" s="74"/>
      <c r="IU280" s="74"/>
      <c r="IV280" s="74"/>
      <c r="IW280" s="74"/>
      <c r="IX280" s="74"/>
      <c r="IY280" s="74"/>
      <c r="IZ280" s="74"/>
      <c r="JA280" s="74"/>
      <c r="JB280" s="74"/>
      <c r="JC280" s="74"/>
      <c r="JD280" s="74"/>
      <c r="JE280" s="74"/>
      <c r="JF280" s="74"/>
      <c r="JG280" s="74"/>
      <c r="JH280" s="74"/>
      <c r="JI280" s="74"/>
      <c r="JJ280" s="74"/>
      <c r="JK280" s="74"/>
      <c r="JL280" s="74"/>
      <c r="JM280" s="74"/>
      <c r="JN280" s="74"/>
      <c r="JO280" s="74"/>
      <c r="JP280" s="74"/>
      <c r="JQ280" s="74"/>
      <c r="JR280" s="74"/>
      <c r="JS280" s="74"/>
      <c r="JT280" s="74"/>
      <c r="JU280" s="74"/>
      <c r="JV280" s="74"/>
      <c r="JW280" s="74"/>
      <c r="JX280" s="74"/>
      <c r="JY280" s="74"/>
      <c r="JZ280" s="74"/>
      <c r="KA280" s="74"/>
      <c r="KB280" s="74"/>
      <c r="KC280" s="74"/>
      <c r="KD280" s="74"/>
      <c r="KE280" s="74"/>
      <c r="KF280" s="74"/>
      <c r="KG280" s="74"/>
      <c r="KH280" s="74"/>
      <c r="KI280" s="74"/>
      <c r="KJ280" s="74"/>
      <c r="KK280" s="74"/>
      <c r="KL280" s="74"/>
      <c r="KM280" s="74"/>
      <c r="KN280" s="74"/>
      <c r="KO280" s="74"/>
      <c r="KP280" s="74"/>
      <c r="KQ280" s="74"/>
      <c r="KR280" s="74"/>
      <c r="KS280" s="74"/>
      <c r="KT280" s="74"/>
      <c r="KU280" s="74"/>
      <c r="KV280" s="74"/>
      <c r="KW280" s="74"/>
      <c r="KX280" s="74"/>
      <c r="KY280" s="74"/>
      <c r="KZ280" s="74"/>
      <c r="LA280" s="74"/>
      <c r="LB280" s="74"/>
      <c r="LC280" s="74"/>
      <c r="LD280" s="74"/>
      <c r="LE280" s="74"/>
      <c r="LF280" s="74"/>
      <c r="LG280" s="74"/>
      <c r="LH280" s="74"/>
      <c r="LI280" s="74"/>
      <c r="LJ280" s="74"/>
      <c r="LK280" s="74"/>
      <c r="LL280" s="74"/>
      <c r="LM280" s="74"/>
      <c r="LN280" s="74"/>
      <c r="LO280" s="74"/>
      <c r="LP280" s="74"/>
      <c r="LQ280" s="74"/>
      <c r="LR280" s="74"/>
      <c r="LS280" s="74"/>
      <c r="LT280" s="74"/>
      <c r="LU280" s="74"/>
      <c r="LV280" s="74"/>
      <c r="LW280" s="74"/>
      <c r="LX280" s="74"/>
      <c r="LY280" s="74"/>
      <c r="LZ280" s="74"/>
      <c r="MA280" s="74"/>
      <c r="MB280" s="74"/>
      <c r="MC280" s="74"/>
      <c r="MD280" s="74"/>
      <c r="ME280" s="74"/>
      <c r="MF280" s="74"/>
      <c r="MG280" s="74"/>
      <c r="MH280" s="74"/>
      <c r="MI280" s="74"/>
      <c r="MJ280" s="74"/>
      <c r="MK280" s="74"/>
      <c r="ML280" s="74"/>
      <c r="MM280" s="74"/>
      <c r="MN280" s="74"/>
      <c r="MO280" s="74"/>
      <c r="MP280" s="74"/>
      <c r="MQ280" s="74"/>
      <c r="MR280" s="74"/>
      <c r="MS280" s="74"/>
      <c r="MT280" s="74"/>
      <c r="MU280" s="74"/>
      <c r="MV280" s="74"/>
      <c r="MW280" s="74"/>
      <c r="MX280" s="74"/>
      <c r="MY280" s="74"/>
      <c r="MZ280" s="74"/>
      <c r="NA280" s="74"/>
      <c r="NB280" s="74"/>
      <c r="NC280" s="74"/>
      <c r="ND280" s="74"/>
      <c r="NE280" s="74"/>
      <c r="NF280" s="74"/>
      <c r="NG280" s="74"/>
      <c r="NH280" s="74"/>
      <c r="NI280" s="74"/>
      <c r="NJ280" s="74"/>
      <c r="NK280" s="74"/>
      <c r="NL280" s="74"/>
      <c r="NM280" s="74"/>
      <c r="NN280" s="74"/>
      <c r="NO280" s="74"/>
      <c r="NP280" s="74"/>
      <c r="NQ280" s="74"/>
      <c r="NR280" s="74"/>
      <c r="NS280" s="74"/>
      <c r="NT280" s="74"/>
      <c r="NU280" s="74"/>
      <c r="NV280" s="74"/>
      <c r="NW280" s="74"/>
      <c r="NX280" s="74"/>
      <c r="NY280" s="74"/>
      <c r="NZ280" s="74"/>
      <c r="OA280" s="74"/>
      <c r="OB280" s="74"/>
      <c r="OC280" s="74"/>
      <c r="OD280" s="74"/>
      <c r="OE280" s="74"/>
      <c r="OF280" s="74"/>
      <c r="OG280" s="74"/>
      <c r="OH280" s="74"/>
      <c r="OI280" s="74"/>
      <c r="OJ280" s="74"/>
      <c r="OK280" s="74"/>
      <c r="OL280" s="74"/>
      <c r="OM280" s="74"/>
      <c r="ON280" s="74"/>
      <c r="OO280" s="74"/>
      <c r="OP280" s="74"/>
      <c r="OQ280" s="74"/>
      <c r="OR280" s="74"/>
      <c r="OS280" s="74"/>
      <c r="OT280" s="74"/>
      <c r="OU280" s="74"/>
      <c r="OV280" s="74"/>
      <c r="OW280" s="74"/>
      <c r="OX280" s="74"/>
      <c r="OY280" s="74"/>
      <c r="OZ280" s="74"/>
      <c r="PA280" s="74"/>
      <c r="PB280" s="74"/>
      <c r="PC280" s="74"/>
      <c r="PD280" s="74"/>
      <c r="PE280" s="74"/>
      <c r="PF280" s="74"/>
      <c r="PG280" s="74"/>
      <c r="PH280" s="74"/>
      <c r="PI280" s="74"/>
      <c r="PJ280" s="74"/>
      <c r="PK280" s="74"/>
      <c r="PL280" s="74"/>
      <c r="PM280" s="74"/>
      <c r="PN280" s="74"/>
      <c r="PO280" s="74"/>
      <c r="PP280" s="74"/>
      <c r="PQ280" s="74"/>
      <c r="PR280" s="74"/>
      <c r="PS280" s="74"/>
      <c r="PT280" s="74"/>
      <c r="PU280" s="74"/>
      <c r="PV280" s="74"/>
      <c r="PW280" s="74"/>
      <c r="PX280" s="74"/>
      <c r="PY280" s="74"/>
      <c r="PZ280" s="74"/>
      <c r="QA280" s="74"/>
      <c r="QB280" s="74"/>
      <c r="QC280" s="74"/>
      <c r="QD280" s="74"/>
      <c r="QE280" s="74"/>
      <c r="QF280" s="74"/>
      <c r="QG280" s="74"/>
      <c r="QH280" s="74"/>
      <c r="QI280" s="74"/>
      <c r="QJ280" s="74"/>
      <c r="QK280" s="74"/>
      <c r="QL280" s="74"/>
      <c r="QM280" s="74"/>
      <c r="QN280" s="74"/>
      <c r="QO280" s="74"/>
      <c r="QP280" s="74"/>
      <c r="QQ280" s="74"/>
      <c r="QR280" s="74"/>
      <c r="QS280" s="74"/>
      <c r="QT280" s="74"/>
      <c r="QU280" s="74"/>
      <c r="QV280" s="74"/>
      <c r="QW280" s="74"/>
      <c r="QX280" s="74"/>
      <c r="QY280" s="74"/>
      <c r="QZ280" s="74"/>
      <c r="RA280" s="74"/>
      <c r="RB280" s="74"/>
      <c r="RC280" s="74"/>
      <c r="RD280" s="74"/>
      <c r="RE280" s="74"/>
      <c r="RF280" s="74"/>
      <c r="RG280" s="74"/>
      <c r="RH280" s="74"/>
      <c r="RI280" s="74"/>
      <c r="RJ280" s="74"/>
      <c r="RK280" s="74"/>
      <c r="RL280" s="74"/>
      <c r="RM280" s="74"/>
      <c r="RN280" s="74"/>
      <c r="RO280" s="74"/>
      <c r="RP280" s="74"/>
      <c r="RQ280" s="74"/>
      <c r="RR280" s="74"/>
      <c r="RS280" s="74"/>
      <c r="RT280" s="74"/>
      <c r="RU280" s="74"/>
      <c r="RV280" s="74"/>
      <c r="RW280" s="74"/>
      <c r="RX280" s="74"/>
      <c r="RY280" s="74"/>
      <c r="RZ280" s="74"/>
      <c r="SA280" s="74"/>
      <c r="SB280" s="74"/>
      <c r="SC280" s="74"/>
      <c r="SD280" s="74"/>
      <c r="SE280" s="74"/>
      <c r="SF280" s="74"/>
      <c r="SG280" s="74"/>
      <c r="SH280" s="74"/>
      <c r="SI280" s="74"/>
      <c r="SJ280" s="74"/>
      <c r="SK280" s="74"/>
      <c r="SL280" s="74"/>
      <c r="SM280" s="74"/>
      <c r="SN280" s="74"/>
      <c r="SO280" s="74"/>
      <c r="SP280" s="74"/>
      <c r="SQ280" s="74"/>
      <c r="SR280" s="74"/>
      <c r="SS280" s="74"/>
      <c r="ST280" s="74"/>
      <c r="SU280" s="74"/>
      <c r="SV280" s="74"/>
      <c r="SW280" s="74"/>
      <c r="SX280" s="74"/>
      <c r="SY280" s="74"/>
      <c r="SZ280" s="74"/>
      <c r="TA280" s="74"/>
      <c r="TB280" s="74"/>
      <c r="TC280" s="74"/>
      <c r="TD280" s="74"/>
      <c r="TE280" s="74"/>
      <c r="TF280" s="74"/>
      <c r="TG280" s="74"/>
      <c r="TH280" s="74"/>
      <c r="TI280" s="74"/>
      <c r="TJ280" s="74"/>
      <c r="TK280" s="74"/>
      <c r="TL280" s="74"/>
      <c r="TM280" s="74"/>
      <c r="TN280" s="74"/>
      <c r="TO280" s="74"/>
      <c r="TP280" s="74"/>
      <c r="TQ280" s="74"/>
      <c r="TR280" s="74"/>
      <c r="TS280" s="74"/>
      <c r="TT280" s="74"/>
      <c r="TU280" s="74"/>
      <c r="TV280" s="74"/>
      <c r="TW280" s="74"/>
      <c r="TX280" s="74"/>
      <c r="TY280" s="74"/>
      <c r="TZ280" s="74"/>
      <c r="UA280" s="74"/>
      <c r="UB280" s="74"/>
      <c r="UC280" s="74"/>
      <c r="UD280" s="74"/>
      <c r="UE280" s="74"/>
      <c r="UF280" s="74"/>
      <c r="UG280" s="74"/>
      <c r="UH280" s="74"/>
      <c r="UI280" s="74"/>
      <c r="UJ280" s="74"/>
      <c r="UK280" s="74"/>
      <c r="UL280" s="74"/>
      <c r="UM280" s="74"/>
      <c r="UN280" s="74"/>
      <c r="UO280" s="74"/>
      <c r="UP280" s="74"/>
      <c r="UQ280" s="74"/>
      <c r="UR280" s="74"/>
      <c r="US280" s="74"/>
      <c r="UT280" s="74"/>
      <c r="UU280" s="74"/>
      <c r="UV280" s="74"/>
      <c r="UW280" s="74"/>
      <c r="UX280" s="74"/>
      <c r="UY280" s="74"/>
      <c r="UZ280" s="74"/>
      <c r="VA280" s="74"/>
      <c r="VB280" s="74"/>
      <c r="VC280" s="74"/>
      <c r="VD280" s="74"/>
      <c r="VE280" s="74"/>
      <c r="VF280" s="74"/>
      <c r="VG280" s="74"/>
      <c r="VH280" s="74"/>
      <c r="VI280" s="74"/>
      <c r="VJ280" s="74"/>
      <c r="VK280" s="74"/>
      <c r="VL280" s="74"/>
      <c r="VM280" s="74"/>
      <c r="VN280" s="74"/>
      <c r="VO280" s="74"/>
      <c r="VP280" s="74"/>
      <c r="VQ280" s="74"/>
      <c r="VR280" s="74"/>
      <c r="VS280" s="74"/>
      <c r="VT280" s="74"/>
      <c r="VU280" s="74"/>
      <c r="VV280" s="74"/>
      <c r="VW280" s="74"/>
      <c r="VX280" s="74"/>
      <c r="VY280" s="74"/>
      <c r="VZ280" s="74"/>
      <c r="WA280" s="74"/>
      <c r="WB280" s="74"/>
      <c r="WC280" s="74"/>
      <c r="WD280" s="74"/>
      <c r="WE280" s="74"/>
      <c r="WF280" s="74"/>
      <c r="WG280" s="74"/>
      <c r="WH280" s="74"/>
      <c r="WI280" s="74"/>
      <c r="WJ280" s="74"/>
      <c r="WK280" s="74"/>
      <c r="WL280" s="74"/>
      <c r="WM280" s="74"/>
      <c r="WN280" s="74"/>
      <c r="WO280" s="74"/>
      <c r="WP280" s="74"/>
      <c r="WQ280" s="74"/>
      <c r="WR280" s="74"/>
      <c r="WS280" s="74"/>
      <c r="WT280" s="74"/>
      <c r="WU280" s="74"/>
      <c r="WV280" s="74"/>
      <c r="WW280" s="74"/>
      <c r="WX280" s="74"/>
      <c r="WY280" s="74"/>
      <c r="WZ280" s="74"/>
      <c r="XA280" s="74"/>
      <c r="XB280" s="74"/>
      <c r="XC280" s="74"/>
      <c r="XD280" s="74"/>
      <c r="XE280" s="74"/>
      <c r="XF280" s="74"/>
      <c r="XG280" s="74"/>
      <c r="XH280" s="74"/>
      <c r="XI280" s="74"/>
      <c r="XJ280" s="74"/>
      <c r="XK280" s="74"/>
      <c r="XL280" s="74"/>
      <c r="XM280" s="74"/>
      <c r="XN280" s="74"/>
      <c r="XO280" s="74"/>
      <c r="XP280" s="74"/>
      <c r="XQ280" s="74"/>
      <c r="XR280" s="74"/>
      <c r="XS280" s="74"/>
      <c r="XT280" s="74"/>
      <c r="XU280" s="74"/>
      <c r="XV280" s="74"/>
      <c r="XW280" s="74"/>
      <c r="XX280" s="74"/>
      <c r="XY280" s="74"/>
      <c r="XZ280" s="74"/>
      <c r="YA280" s="74"/>
      <c r="YB280" s="74"/>
      <c r="YC280" s="74"/>
      <c r="YD280" s="74"/>
      <c r="YE280" s="74"/>
      <c r="YF280" s="74"/>
      <c r="YG280" s="74"/>
      <c r="YH280" s="74"/>
      <c r="YI280" s="74"/>
      <c r="YJ280" s="74"/>
      <c r="YK280" s="74"/>
      <c r="YL280" s="74"/>
      <c r="YM280" s="74"/>
      <c r="YN280" s="74"/>
      <c r="YO280" s="74"/>
      <c r="YP280" s="74"/>
      <c r="YQ280" s="74"/>
      <c r="YR280" s="74"/>
      <c r="YS280" s="74"/>
      <c r="YT280" s="74"/>
      <c r="YU280" s="74"/>
      <c r="YV280" s="74"/>
      <c r="YW280" s="74"/>
      <c r="YX280" s="74"/>
      <c r="YY280" s="74"/>
      <c r="YZ280" s="74"/>
      <c r="ZA280" s="74"/>
      <c r="ZB280" s="74"/>
      <c r="ZC280" s="74"/>
      <c r="ZD280" s="74"/>
      <c r="ZE280" s="74"/>
      <c r="ZF280" s="74"/>
      <c r="ZG280" s="74"/>
      <c r="ZH280" s="74"/>
      <c r="ZI280" s="74"/>
      <c r="ZJ280" s="74"/>
      <c r="ZK280" s="74"/>
      <c r="ZL280" s="74"/>
      <c r="ZM280" s="74"/>
      <c r="ZN280" s="74"/>
      <c r="ZO280" s="74"/>
      <c r="ZP280" s="74"/>
      <c r="ZQ280" s="74"/>
      <c r="ZR280" s="74"/>
      <c r="ZS280" s="74"/>
      <c r="ZT280" s="74"/>
      <c r="ZU280" s="74"/>
      <c r="ZV280" s="74"/>
      <c r="ZW280" s="74"/>
      <c r="ZX280" s="74"/>
      <c r="ZY280" s="74"/>
      <c r="ZZ280" s="74"/>
      <c r="AAA280" s="74"/>
      <c r="AAB280" s="74"/>
      <c r="AAC280" s="74"/>
      <c r="AAD280" s="74"/>
      <c r="AAE280" s="74"/>
      <c r="AAF280" s="74"/>
      <c r="AAG280" s="74"/>
      <c r="AAH280" s="74"/>
      <c r="AAI280" s="74"/>
      <c r="AAJ280" s="74"/>
      <c r="AAK280" s="74"/>
      <c r="AAL280" s="74"/>
      <c r="AAM280" s="74"/>
      <c r="AAN280" s="74"/>
      <c r="AAO280" s="74"/>
      <c r="AAP280" s="74"/>
      <c r="AAQ280" s="74"/>
      <c r="AAR280" s="74"/>
      <c r="AAS280" s="74"/>
      <c r="AAT280" s="74"/>
      <c r="AAU280" s="74"/>
      <c r="AAV280" s="74"/>
      <c r="AAW280" s="74"/>
      <c r="AAX280" s="74"/>
      <c r="AAY280" s="74"/>
      <c r="AAZ280" s="74"/>
      <c r="ABA280" s="74"/>
      <c r="ABB280" s="74"/>
      <c r="ABC280" s="74"/>
      <c r="ABD280" s="74"/>
      <c r="ABE280" s="74"/>
      <c r="ABF280" s="74"/>
      <c r="ABG280" s="74"/>
      <c r="ABH280" s="74"/>
      <c r="ABI280" s="74"/>
      <c r="ABJ280" s="74"/>
      <c r="ABK280" s="74"/>
      <c r="ABL280" s="74"/>
      <c r="ABM280" s="74"/>
      <c r="ABN280" s="74"/>
      <c r="ABO280" s="74"/>
      <c r="ABP280" s="74"/>
      <c r="ABQ280" s="74"/>
      <c r="ABR280" s="74"/>
      <c r="ABS280" s="74"/>
      <c r="ABT280" s="74"/>
      <c r="ABU280" s="74"/>
      <c r="ABV280" s="74"/>
      <c r="ABW280" s="74"/>
      <c r="ABX280" s="74"/>
      <c r="ABY280" s="74"/>
      <c r="ABZ280" s="74"/>
      <c r="ACA280" s="74"/>
      <c r="ACB280" s="74"/>
      <c r="ACC280" s="74"/>
      <c r="ACD280" s="74"/>
      <c r="ACE280" s="74"/>
      <c r="ACF280" s="74"/>
      <c r="ACG280" s="74"/>
      <c r="ACH280" s="74"/>
      <c r="ACI280" s="74"/>
      <c r="ACJ280" s="74"/>
      <c r="ACK280" s="74"/>
      <c r="ACL280" s="74"/>
      <c r="ACM280" s="74"/>
      <c r="ACN280" s="74"/>
      <c r="ACO280" s="74"/>
      <c r="ACP280" s="74"/>
      <c r="ACQ280" s="74"/>
      <c r="ACR280" s="74"/>
      <c r="ACS280" s="74"/>
      <c r="ACT280" s="74"/>
      <c r="ACU280" s="74"/>
      <c r="ACV280" s="74"/>
      <c r="ACW280" s="74"/>
      <c r="ACX280" s="74"/>
      <c r="ACY280" s="74"/>
      <c r="ACZ280" s="74"/>
      <c r="ADA280" s="74"/>
      <c r="ADB280" s="74"/>
      <c r="ADC280" s="74"/>
      <c r="ADD280" s="74"/>
      <c r="ADE280" s="74"/>
      <c r="ADF280" s="74"/>
      <c r="ADG280" s="74"/>
      <c r="ADH280" s="74"/>
      <c r="ADI280" s="74"/>
      <c r="ADJ280" s="74"/>
      <c r="ADK280" s="74"/>
      <c r="ADL280" s="74"/>
      <c r="ADM280" s="74"/>
      <c r="ADN280" s="74"/>
      <c r="ADO280" s="74"/>
      <c r="ADP280" s="74"/>
      <c r="ADQ280" s="74"/>
      <c r="ADR280" s="74"/>
      <c r="ADS280" s="74"/>
      <c r="ADT280" s="74"/>
      <c r="ADU280" s="74"/>
      <c r="ADV280" s="74"/>
      <c r="ADW280" s="74"/>
      <c r="ADX280" s="74"/>
      <c r="ADY280" s="74"/>
      <c r="ADZ280" s="74"/>
      <c r="AEA280" s="74"/>
      <c r="AEB280" s="74"/>
      <c r="AEC280" s="74"/>
      <c r="AED280" s="74"/>
      <c r="AEE280" s="74"/>
      <c r="AEF280" s="74"/>
      <c r="AEG280" s="74"/>
      <c r="AEH280" s="74"/>
      <c r="AEI280" s="74"/>
      <c r="AEJ280" s="74"/>
      <c r="AEK280" s="74"/>
      <c r="AEL280" s="74"/>
      <c r="AEM280" s="74"/>
      <c r="AEN280" s="74"/>
      <c r="AEO280" s="74"/>
      <c r="AEP280" s="74"/>
      <c r="AEQ280" s="74"/>
      <c r="AER280" s="74"/>
      <c r="AES280" s="74"/>
      <c r="AET280" s="74"/>
      <c r="AEU280" s="74"/>
      <c r="AEV280" s="74"/>
      <c r="AEW280" s="74"/>
      <c r="AEX280" s="74"/>
      <c r="AEY280" s="74"/>
      <c r="AEZ280" s="74"/>
      <c r="AFA280" s="74"/>
      <c r="AFB280" s="74"/>
      <c r="AFC280" s="74"/>
      <c r="AFD280" s="74"/>
      <c r="AFE280" s="74"/>
      <c r="AFF280" s="74"/>
      <c r="AFG280" s="74"/>
      <c r="AFH280" s="74"/>
      <c r="AFI280" s="74"/>
      <c r="AFJ280" s="74"/>
      <c r="AFK280" s="74"/>
      <c r="AFL280" s="74"/>
      <c r="AFM280" s="74"/>
      <c r="AFN280" s="74"/>
      <c r="AFO280" s="74"/>
      <c r="AFP280" s="74"/>
      <c r="AFQ280" s="74"/>
      <c r="AFR280" s="74"/>
      <c r="AFS280" s="74"/>
      <c r="AFT280" s="74"/>
      <c r="AFU280" s="74"/>
      <c r="AFV280" s="74"/>
      <c r="AFW280" s="74"/>
      <c r="AFX280" s="74"/>
      <c r="AFY280" s="74"/>
      <c r="AFZ280" s="74"/>
      <c r="AGA280" s="74"/>
      <c r="AGB280" s="74"/>
      <c r="AGC280" s="74"/>
      <c r="AGD280" s="74"/>
      <c r="AGE280" s="74"/>
      <c r="AGF280" s="74"/>
      <c r="AGG280" s="74"/>
      <c r="AGH280" s="74"/>
      <c r="AGI280" s="74"/>
      <c r="AGJ280" s="74"/>
      <c r="AGK280" s="74"/>
      <c r="AGL280" s="74"/>
      <c r="AGM280" s="74"/>
      <c r="AGN280" s="74"/>
      <c r="AGO280" s="74"/>
      <c r="AGP280" s="74"/>
      <c r="AGQ280" s="74"/>
      <c r="AGR280" s="74"/>
      <c r="AGS280" s="74"/>
      <c r="AGT280" s="74"/>
      <c r="AGU280" s="74"/>
      <c r="AGV280" s="74"/>
      <c r="AGW280" s="74"/>
      <c r="AGX280" s="74"/>
      <c r="AGY280" s="74"/>
      <c r="AGZ280" s="74"/>
      <c r="AHA280" s="74"/>
      <c r="AHB280" s="74"/>
      <c r="AHC280" s="74"/>
      <c r="AHD280" s="74"/>
      <c r="AHE280" s="74"/>
      <c r="AHF280" s="74"/>
      <c r="AHG280" s="74"/>
      <c r="AHH280" s="74"/>
      <c r="AHI280" s="74"/>
      <c r="AHJ280" s="74"/>
      <c r="AHK280" s="74"/>
      <c r="AHL280" s="74"/>
      <c r="AHM280" s="74"/>
      <c r="AHN280" s="74"/>
      <c r="AHO280" s="74"/>
      <c r="AHP280" s="74"/>
      <c r="AHQ280" s="74"/>
      <c r="AHR280" s="74"/>
      <c r="AHS280" s="74"/>
      <c r="AHT280" s="74"/>
      <c r="AHU280" s="74"/>
      <c r="AHV280" s="74"/>
      <c r="AHW280" s="74"/>
      <c r="AHX280" s="74"/>
      <c r="AHY280" s="74"/>
      <c r="AHZ280" s="74"/>
      <c r="AIA280" s="74"/>
      <c r="AIB280" s="74"/>
      <c r="AIC280" s="74"/>
      <c r="AID280" s="74"/>
      <c r="AIE280" s="74"/>
      <c r="AIF280" s="74"/>
      <c r="AIG280" s="74"/>
      <c r="AIH280" s="74"/>
      <c r="AII280" s="74"/>
      <c r="AIJ280" s="74"/>
      <c r="AIK280" s="74"/>
      <c r="AIL280" s="74"/>
      <c r="AIM280" s="74"/>
      <c r="AIN280" s="74"/>
      <c r="AIO280" s="74"/>
      <c r="AIP280" s="74"/>
      <c r="AIQ280" s="74"/>
      <c r="AIR280" s="74"/>
      <c r="AIS280" s="74"/>
      <c r="AIT280" s="74"/>
      <c r="AIU280" s="74"/>
      <c r="AIV280" s="74"/>
      <c r="AIW280" s="74"/>
      <c r="AIX280" s="74"/>
      <c r="AIY280" s="74"/>
      <c r="AIZ280" s="74"/>
      <c r="AJA280" s="74"/>
      <c r="AJB280" s="74"/>
      <c r="AJC280" s="74"/>
      <c r="AJD280" s="74"/>
      <c r="AJE280" s="74"/>
      <c r="AJF280" s="74"/>
      <c r="AJG280" s="74"/>
      <c r="AJH280" s="74"/>
      <c r="AJI280" s="74"/>
      <c r="AJJ280" s="74"/>
      <c r="AJK280" s="74"/>
      <c r="AJL280" s="74"/>
      <c r="AJM280" s="74"/>
      <c r="AJN280" s="74"/>
      <c r="AJO280" s="74"/>
      <c r="AJP280" s="74"/>
      <c r="AJQ280" s="74"/>
      <c r="AJR280" s="74"/>
      <c r="AJS280" s="74"/>
      <c r="AJT280" s="74"/>
      <c r="AJU280" s="74"/>
      <c r="AJV280" s="74"/>
      <c r="AJW280" s="74"/>
      <c r="AJX280" s="74"/>
      <c r="AJY280" s="74"/>
      <c r="AJZ280" s="74"/>
      <c r="AKA280" s="74"/>
      <c r="AKB280" s="74"/>
      <c r="AKC280" s="74"/>
      <c r="AKD280" s="74"/>
      <c r="AKE280" s="74"/>
      <c r="AKF280" s="74"/>
      <c r="AKG280" s="74"/>
      <c r="AKH280" s="74"/>
      <c r="AKI280" s="74"/>
      <c r="AKJ280" s="74"/>
      <c r="AKK280" s="74"/>
      <c r="AKL280" s="74"/>
      <c r="AKM280" s="74"/>
      <c r="AKN280" s="74"/>
      <c r="AKO280" s="74"/>
      <c r="AKP280" s="74"/>
      <c r="AKQ280" s="74"/>
      <c r="AKR280" s="74"/>
      <c r="AKS280" s="74"/>
      <c r="AKT280" s="74"/>
      <c r="AKU280" s="74"/>
      <c r="AKV280" s="74"/>
      <c r="AKW280" s="74"/>
      <c r="AKX280" s="74"/>
      <c r="AKY280" s="74"/>
      <c r="AKZ280" s="74"/>
      <c r="ALA280" s="74"/>
      <c r="ALB280" s="74"/>
      <c r="ALC280" s="74"/>
      <c r="ALD280" s="74"/>
      <c r="ALE280" s="74"/>
      <c r="ALF280" s="74"/>
      <c r="ALG280" s="74"/>
      <c r="ALH280" s="74"/>
      <c r="ALI280" s="74"/>
      <c r="ALJ280" s="74"/>
      <c r="ALK280" s="74"/>
      <c r="ALL280" s="74"/>
      <c r="ALM280" s="74"/>
      <c r="ALN280" s="74"/>
      <c r="ALO280" s="74"/>
      <c r="ALP280" s="74"/>
      <c r="ALQ280" s="74"/>
      <c r="ALR280" s="74"/>
      <c r="ALS280" s="74"/>
      <c r="ALT280" s="74"/>
      <c r="ALU280" s="74"/>
      <c r="ALV280" s="74"/>
      <c r="ALW280" s="74"/>
      <c r="ALX280" s="74"/>
      <c r="ALY280" s="74"/>
      <c r="ALZ280" s="74"/>
      <c r="AMA280" s="74"/>
      <c r="AMB280" s="74"/>
      <c r="AMC280" s="74"/>
      <c r="AMD280" s="74"/>
      <c r="AME280" s="74"/>
      <c r="AMF280" s="74"/>
      <c r="AMG280" s="74"/>
      <c r="AMH280" s="74"/>
      <c r="AMI280" s="74"/>
    </row>
    <row r="281" spans="1:1023" s="94" customFormat="1" x14ac:dyDescent="0.25">
      <c r="A281" s="201"/>
      <c r="B281" s="142" t="s">
        <v>143</v>
      </c>
      <c r="C281" s="142"/>
      <c r="D281" s="142"/>
      <c r="E281" s="100"/>
      <c r="F281" s="108"/>
      <c r="G281" s="155"/>
      <c r="H281" s="145"/>
      <c r="I281" s="108"/>
      <c r="J281" s="155"/>
      <c r="K281" s="145"/>
      <c r="L281" s="202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  <c r="AW281" s="74"/>
      <c r="AX281" s="74"/>
      <c r="AY281" s="74"/>
      <c r="AZ281" s="74"/>
      <c r="BA281" s="74"/>
      <c r="BB281" s="74"/>
      <c r="BC281" s="74"/>
      <c r="BD281" s="74"/>
      <c r="BE281" s="74"/>
      <c r="BF281" s="74"/>
      <c r="BG281" s="74"/>
      <c r="BH281" s="74"/>
      <c r="BI281" s="74"/>
      <c r="BJ281" s="74"/>
      <c r="BK281" s="74"/>
      <c r="BL281" s="74"/>
      <c r="BM281" s="74"/>
      <c r="BN281" s="74"/>
      <c r="BO281" s="74"/>
      <c r="BP281" s="74"/>
      <c r="BQ281" s="74"/>
      <c r="BR281" s="74"/>
      <c r="BS281" s="74"/>
      <c r="BT281" s="74"/>
      <c r="BU281" s="74"/>
      <c r="BV281" s="74"/>
      <c r="BW281" s="74"/>
      <c r="BX281" s="74"/>
      <c r="BY281" s="74"/>
      <c r="BZ281" s="74"/>
      <c r="CA281" s="74"/>
      <c r="CB281" s="74"/>
      <c r="CC281" s="74"/>
      <c r="CD281" s="74"/>
      <c r="CE281" s="74"/>
      <c r="CF281" s="74"/>
      <c r="CG281" s="74"/>
      <c r="CH281" s="74"/>
      <c r="CI281" s="74"/>
      <c r="CJ281" s="74"/>
      <c r="CK281" s="74"/>
      <c r="CL281" s="74"/>
      <c r="CM281" s="74"/>
      <c r="CN281" s="74"/>
      <c r="CO281" s="74"/>
      <c r="CP281" s="74"/>
      <c r="CQ281" s="74"/>
      <c r="CR281" s="74"/>
      <c r="CS281" s="74"/>
      <c r="CT281" s="74"/>
      <c r="CU281" s="74"/>
      <c r="CV281" s="74"/>
      <c r="CW281" s="74"/>
      <c r="CX281" s="74"/>
      <c r="CY281" s="74"/>
      <c r="CZ281" s="74"/>
      <c r="DA281" s="74"/>
      <c r="DB281" s="74"/>
      <c r="DC281" s="74"/>
      <c r="DD281" s="74"/>
      <c r="DE281" s="74"/>
      <c r="DF281" s="74"/>
      <c r="DG281" s="74"/>
      <c r="DH281" s="74"/>
      <c r="DI281" s="74"/>
      <c r="DJ281" s="74"/>
      <c r="DK281" s="74"/>
      <c r="DL281" s="74"/>
      <c r="DM281" s="74"/>
      <c r="DN281" s="74"/>
      <c r="DO281" s="74"/>
      <c r="DP281" s="74"/>
      <c r="DQ281" s="74"/>
      <c r="DR281" s="74"/>
      <c r="DS281" s="74"/>
      <c r="DT281" s="74"/>
      <c r="DU281" s="74"/>
      <c r="DV281" s="74"/>
      <c r="DW281" s="74"/>
      <c r="DX281" s="74"/>
      <c r="DY281" s="74"/>
      <c r="DZ281" s="74"/>
      <c r="EA281" s="74"/>
      <c r="EB281" s="74"/>
      <c r="EC281" s="74"/>
      <c r="ED281" s="74"/>
      <c r="EE281" s="74"/>
      <c r="EF281" s="74"/>
      <c r="EG281" s="74"/>
      <c r="EH281" s="74"/>
      <c r="EI281" s="74"/>
      <c r="EJ281" s="74"/>
      <c r="EK281" s="74"/>
      <c r="EL281" s="74"/>
      <c r="EM281" s="74"/>
      <c r="EN281" s="74"/>
      <c r="EO281" s="74"/>
      <c r="EP281" s="74"/>
      <c r="EQ281" s="74"/>
      <c r="ER281" s="74"/>
      <c r="ES281" s="74"/>
      <c r="ET281" s="74"/>
      <c r="EU281" s="74"/>
      <c r="EV281" s="74"/>
      <c r="EW281" s="74"/>
      <c r="EX281" s="74"/>
      <c r="EY281" s="74"/>
      <c r="EZ281" s="74"/>
      <c r="FA281" s="74"/>
      <c r="FB281" s="74"/>
      <c r="FC281" s="74"/>
      <c r="FD281" s="74"/>
      <c r="FE281" s="74"/>
      <c r="FF281" s="74"/>
      <c r="FG281" s="74"/>
      <c r="FH281" s="74"/>
      <c r="FI281" s="74"/>
      <c r="FJ281" s="74"/>
      <c r="FK281" s="74"/>
      <c r="FL281" s="74"/>
      <c r="FM281" s="74"/>
      <c r="FN281" s="74"/>
      <c r="FO281" s="74"/>
      <c r="FP281" s="74"/>
      <c r="FQ281" s="74"/>
      <c r="FR281" s="74"/>
      <c r="FS281" s="74"/>
      <c r="FT281" s="74"/>
      <c r="FU281" s="74"/>
      <c r="FV281" s="74"/>
      <c r="FW281" s="74"/>
      <c r="FX281" s="74"/>
      <c r="FY281" s="74"/>
      <c r="FZ281" s="74"/>
      <c r="GA281" s="74"/>
      <c r="GB281" s="74"/>
      <c r="GC281" s="74"/>
      <c r="GD281" s="74"/>
      <c r="GE281" s="74"/>
      <c r="GF281" s="74"/>
      <c r="GG281" s="74"/>
      <c r="GH281" s="74"/>
      <c r="GI281" s="74"/>
      <c r="GJ281" s="74"/>
      <c r="GK281" s="74"/>
      <c r="GL281" s="74"/>
      <c r="GM281" s="74"/>
      <c r="GN281" s="74"/>
      <c r="GO281" s="74"/>
      <c r="GP281" s="74"/>
      <c r="GQ281" s="74"/>
      <c r="GR281" s="74"/>
      <c r="GS281" s="74"/>
      <c r="GT281" s="74"/>
      <c r="GU281" s="74"/>
      <c r="GV281" s="74"/>
      <c r="GW281" s="74"/>
      <c r="GX281" s="74"/>
      <c r="GY281" s="74"/>
      <c r="GZ281" s="74"/>
      <c r="HA281" s="74"/>
      <c r="HB281" s="74"/>
      <c r="HC281" s="74"/>
      <c r="HD281" s="74"/>
      <c r="HE281" s="74"/>
      <c r="HF281" s="74"/>
      <c r="HG281" s="74"/>
      <c r="HH281" s="74"/>
      <c r="HI281" s="74"/>
      <c r="HJ281" s="74"/>
      <c r="HK281" s="74"/>
      <c r="HL281" s="74"/>
      <c r="HM281" s="74"/>
      <c r="HN281" s="74"/>
      <c r="HO281" s="74"/>
      <c r="HP281" s="74"/>
      <c r="HQ281" s="74"/>
      <c r="HR281" s="74"/>
      <c r="HS281" s="74"/>
      <c r="HT281" s="74"/>
      <c r="HU281" s="74"/>
      <c r="HV281" s="74"/>
      <c r="HW281" s="74"/>
      <c r="HX281" s="74"/>
      <c r="HY281" s="74"/>
      <c r="HZ281" s="74"/>
      <c r="IA281" s="74"/>
      <c r="IB281" s="74"/>
      <c r="IC281" s="74"/>
      <c r="ID281" s="74"/>
      <c r="IE281" s="74"/>
      <c r="IF281" s="74"/>
      <c r="IG281" s="74"/>
      <c r="IH281" s="74"/>
      <c r="II281" s="74"/>
      <c r="IJ281" s="74"/>
      <c r="IK281" s="74"/>
      <c r="IL281" s="74"/>
      <c r="IM281" s="74"/>
      <c r="IN281" s="74"/>
      <c r="IO281" s="74"/>
      <c r="IP281" s="74"/>
      <c r="IQ281" s="74"/>
      <c r="IR281" s="74"/>
      <c r="IS281" s="74"/>
      <c r="IT281" s="74"/>
      <c r="IU281" s="74"/>
      <c r="IV281" s="74"/>
      <c r="IW281" s="74"/>
      <c r="IX281" s="74"/>
      <c r="IY281" s="74"/>
      <c r="IZ281" s="74"/>
      <c r="JA281" s="74"/>
      <c r="JB281" s="74"/>
      <c r="JC281" s="74"/>
      <c r="JD281" s="74"/>
      <c r="JE281" s="74"/>
      <c r="JF281" s="74"/>
      <c r="JG281" s="74"/>
      <c r="JH281" s="74"/>
      <c r="JI281" s="74"/>
      <c r="JJ281" s="74"/>
      <c r="JK281" s="74"/>
      <c r="JL281" s="74"/>
      <c r="JM281" s="74"/>
      <c r="JN281" s="74"/>
      <c r="JO281" s="74"/>
      <c r="JP281" s="74"/>
      <c r="JQ281" s="74"/>
      <c r="JR281" s="74"/>
      <c r="JS281" s="74"/>
      <c r="JT281" s="74"/>
      <c r="JU281" s="74"/>
      <c r="JV281" s="74"/>
      <c r="JW281" s="74"/>
      <c r="JX281" s="74"/>
      <c r="JY281" s="74"/>
      <c r="JZ281" s="74"/>
      <c r="KA281" s="74"/>
      <c r="KB281" s="74"/>
      <c r="KC281" s="74"/>
      <c r="KD281" s="74"/>
      <c r="KE281" s="74"/>
      <c r="KF281" s="74"/>
      <c r="KG281" s="74"/>
      <c r="KH281" s="74"/>
      <c r="KI281" s="74"/>
      <c r="KJ281" s="74"/>
      <c r="KK281" s="74"/>
      <c r="KL281" s="74"/>
      <c r="KM281" s="74"/>
      <c r="KN281" s="74"/>
      <c r="KO281" s="74"/>
      <c r="KP281" s="74"/>
      <c r="KQ281" s="74"/>
      <c r="KR281" s="74"/>
      <c r="KS281" s="74"/>
      <c r="KT281" s="74"/>
      <c r="KU281" s="74"/>
      <c r="KV281" s="74"/>
      <c r="KW281" s="74"/>
      <c r="KX281" s="74"/>
      <c r="KY281" s="74"/>
      <c r="KZ281" s="74"/>
      <c r="LA281" s="74"/>
      <c r="LB281" s="74"/>
      <c r="LC281" s="74"/>
      <c r="LD281" s="74"/>
      <c r="LE281" s="74"/>
      <c r="LF281" s="74"/>
      <c r="LG281" s="74"/>
      <c r="LH281" s="74"/>
      <c r="LI281" s="74"/>
      <c r="LJ281" s="74"/>
      <c r="LK281" s="74"/>
      <c r="LL281" s="74"/>
      <c r="LM281" s="74"/>
      <c r="LN281" s="74"/>
      <c r="LO281" s="74"/>
      <c r="LP281" s="74"/>
      <c r="LQ281" s="74"/>
      <c r="LR281" s="74"/>
      <c r="LS281" s="74"/>
      <c r="LT281" s="74"/>
      <c r="LU281" s="74"/>
      <c r="LV281" s="74"/>
      <c r="LW281" s="74"/>
      <c r="LX281" s="74"/>
      <c r="LY281" s="74"/>
      <c r="LZ281" s="74"/>
      <c r="MA281" s="74"/>
      <c r="MB281" s="74"/>
      <c r="MC281" s="74"/>
      <c r="MD281" s="74"/>
      <c r="ME281" s="74"/>
      <c r="MF281" s="74"/>
      <c r="MG281" s="74"/>
      <c r="MH281" s="74"/>
      <c r="MI281" s="74"/>
      <c r="MJ281" s="74"/>
      <c r="MK281" s="74"/>
      <c r="ML281" s="74"/>
      <c r="MM281" s="74"/>
      <c r="MN281" s="74"/>
      <c r="MO281" s="74"/>
      <c r="MP281" s="74"/>
      <c r="MQ281" s="74"/>
      <c r="MR281" s="74"/>
      <c r="MS281" s="74"/>
      <c r="MT281" s="74"/>
      <c r="MU281" s="74"/>
      <c r="MV281" s="74"/>
      <c r="MW281" s="74"/>
      <c r="MX281" s="74"/>
      <c r="MY281" s="74"/>
      <c r="MZ281" s="74"/>
      <c r="NA281" s="74"/>
      <c r="NB281" s="74"/>
      <c r="NC281" s="74"/>
      <c r="ND281" s="74"/>
      <c r="NE281" s="74"/>
      <c r="NF281" s="74"/>
      <c r="NG281" s="74"/>
      <c r="NH281" s="74"/>
      <c r="NI281" s="74"/>
      <c r="NJ281" s="74"/>
      <c r="NK281" s="74"/>
      <c r="NL281" s="74"/>
      <c r="NM281" s="74"/>
      <c r="NN281" s="74"/>
      <c r="NO281" s="74"/>
      <c r="NP281" s="74"/>
      <c r="NQ281" s="74"/>
      <c r="NR281" s="74"/>
      <c r="NS281" s="74"/>
      <c r="NT281" s="74"/>
      <c r="NU281" s="74"/>
      <c r="NV281" s="74"/>
      <c r="NW281" s="74"/>
      <c r="NX281" s="74"/>
      <c r="NY281" s="74"/>
      <c r="NZ281" s="74"/>
      <c r="OA281" s="74"/>
      <c r="OB281" s="74"/>
      <c r="OC281" s="74"/>
      <c r="OD281" s="74"/>
      <c r="OE281" s="74"/>
      <c r="OF281" s="74"/>
      <c r="OG281" s="74"/>
      <c r="OH281" s="74"/>
      <c r="OI281" s="74"/>
      <c r="OJ281" s="74"/>
      <c r="OK281" s="74"/>
      <c r="OL281" s="74"/>
      <c r="OM281" s="74"/>
      <c r="ON281" s="74"/>
      <c r="OO281" s="74"/>
      <c r="OP281" s="74"/>
      <c r="OQ281" s="74"/>
      <c r="OR281" s="74"/>
      <c r="OS281" s="74"/>
      <c r="OT281" s="74"/>
      <c r="OU281" s="74"/>
      <c r="OV281" s="74"/>
      <c r="OW281" s="74"/>
      <c r="OX281" s="74"/>
      <c r="OY281" s="74"/>
      <c r="OZ281" s="74"/>
      <c r="PA281" s="74"/>
      <c r="PB281" s="74"/>
      <c r="PC281" s="74"/>
      <c r="PD281" s="74"/>
      <c r="PE281" s="74"/>
      <c r="PF281" s="74"/>
      <c r="PG281" s="74"/>
      <c r="PH281" s="74"/>
      <c r="PI281" s="74"/>
      <c r="PJ281" s="74"/>
      <c r="PK281" s="74"/>
      <c r="PL281" s="74"/>
      <c r="PM281" s="74"/>
      <c r="PN281" s="74"/>
      <c r="PO281" s="74"/>
      <c r="PP281" s="74"/>
      <c r="PQ281" s="74"/>
      <c r="PR281" s="74"/>
      <c r="PS281" s="74"/>
      <c r="PT281" s="74"/>
      <c r="PU281" s="74"/>
      <c r="PV281" s="74"/>
      <c r="PW281" s="74"/>
      <c r="PX281" s="74"/>
      <c r="PY281" s="74"/>
      <c r="PZ281" s="74"/>
      <c r="QA281" s="74"/>
      <c r="QB281" s="74"/>
      <c r="QC281" s="74"/>
      <c r="QD281" s="74"/>
      <c r="QE281" s="74"/>
      <c r="QF281" s="74"/>
      <c r="QG281" s="74"/>
      <c r="QH281" s="74"/>
      <c r="QI281" s="74"/>
      <c r="QJ281" s="74"/>
      <c r="QK281" s="74"/>
      <c r="QL281" s="74"/>
      <c r="QM281" s="74"/>
      <c r="QN281" s="74"/>
      <c r="QO281" s="74"/>
      <c r="QP281" s="74"/>
      <c r="QQ281" s="74"/>
      <c r="QR281" s="74"/>
      <c r="QS281" s="74"/>
      <c r="QT281" s="74"/>
      <c r="QU281" s="74"/>
      <c r="QV281" s="74"/>
      <c r="QW281" s="74"/>
      <c r="QX281" s="74"/>
      <c r="QY281" s="74"/>
      <c r="QZ281" s="74"/>
      <c r="RA281" s="74"/>
      <c r="RB281" s="74"/>
      <c r="RC281" s="74"/>
      <c r="RD281" s="74"/>
      <c r="RE281" s="74"/>
      <c r="RF281" s="74"/>
      <c r="RG281" s="74"/>
      <c r="RH281" s="74"/>
      <c r="RI281" s="74"/>
      <c r="RJ281" s="74"/>
      <c r="RK281" s="74"/>
      <c r="RL281" s="74"/>
      <c r="RM281" s="74"/>
      <c r="RN281" s="74"/>
      <c r="RO281" s="74"/>
      <c r="RP281" s="74"/>
      <c r="RQ281" s="74"/>
      <c r="RR281" s="74"/>
      <c r="RS281" s="74"/>
      <c r="RT281" s="74"/>
      <c r="RU281" s="74"/>
      <c r="RV281" s="74"/>
      <c r="RW281" s="74"/>
      <c r="RX281" s="74"/>
      <c r="RY281" s="74"/>
      <c r="RZ281" s="74"/>
      <c r="SA281" s="74"/>
      <c r="SB281" s="74"/>
      <c r="SC281" s="74"/>
      <c r="SD281" s="74"/>
      <c r="SE281" s="74"/>
      <c r="SF281" s="74"/>
      <c r="SG281" s="74"/>
      <c r="SH281" s="74"/>
      <c r="SI281" s="74"/>
      <c r="SJ281" s="74"/>
      <c r="SK281" s="74"/>
      <c r="SL281" s="74"/>
      <c r="SM281" s="74"/>
      <c r="SN281" s="74"/>
      <c r="SO281" s="74"/>
      <c r="SP281" s="74"/>
      <c r="SQ281" s="74"/>
      <c r="SR281" s="74"/>
      <c r="SS281" s="74"/>
      <c r="ST281" s="74"/>
      <c r="SU281" s="74"/>
      <c r="SV281" s="74"/>
      <c r="SW281" s="74"/>
      <c r="SX281" s="74"/>
      <c r="SY281" s="74"/>
      <c r="SZ281" s="74"/>
      <c r="TA281" s="74"/>
      <c r="TB281" s="74"/>
      <c r="TC281" s="74"/>
      <c r="TD281" s="74"/>
      <c r="TE281" s="74"/>
      <c r="TF281" s="74"/>
      <c r="TG281" s="74"/>
      <c r="TH281" s="74"/>
      <c r="TI281" s="74"/>
      <c r="TJ281" s="74"/>
      <c r="TK281" s="74"/>
      <c r="TL281" s="74"/>
      <c r="TM281" s="74"/>
      <c r="TN281" s="74"/>
      <c r="TO281" s="74"/>
      <c r="TP281" s="74"/>
      <c r="TQ281" s="74"/>
      <c r="TR281" s="74"/>
      <c r="TS281" s="74"/>
      <c r="TT281" s="74"/>
      <c r="TU281" s="74"/>
      <c r="TV281" s="74"/>
      <c r="TW281" s="74"/>
      <c r="TX281" s="74"/>
      <c r="TY281" s="74"/>
      <c r="TZ281" s="74"/>
      <c r="UA281" s="74"/>
      <c r="UB281" s="74"/>
      <c r="UC281" s="74"/>
      <c r="UD281" s="74"/>
      <c r="UE281" s="74"/>
      <c r="UF281" s="74"/>
      <c r="UG281" s="74"/>
      <c r="UH281" s="74"/>
      <c r="UI281" s="74"/>
      <c r="UJ281" s="74"/>
      <c r="UK281" s="74"/>
      <c r="UL281" s="74"/>
      <c r="UM281" s="74"/>
      <c r="UN281" s="74"/>
      <c r="UO281" s="74"/>
      <c r="UP281" s="74"/>
      <c r="UQ281" s="74"/>
      <c r="UR281" s="74"/>
      <c r="US281" s="74"/>
      <c r="UT281" s="74"/>
      <c r="UU281" s="74"/>
      <c r="UV281" s="74"/>
      <c r="UW281" s="74"/>
      <c r="UX281" s="74"/>
      <c r="UY281" s="74"/>
      <c r="UZ281" s="74"/>
      <c r="VA281" s="74"/>
      <c r="VB281" s="74"/>
      <c r="VC281" s="74"/>
      <c r="VD281" s="74"/>
      <c r="VE281" s="74"/>
      <c r="VF281" s="74"/>
      <c r="VG281" s="74"/>
      <c r="VH281" s="74"/>
      <c r="VI281" s="74"/>
      <c r="VJ281" s="74"/>
      <c r="VK281" s="74"/>
      <c r="VL281" s="74"/>
      <c r="VM281" s="74"/>
      <c r="VN281" s="74"/>
      <c r="VO281" s="74"/>
      <c r="VP281" s="74"/>
      <c r="VQ281" s="74"/>
      <c r="VR281" s="74"/>
      <c r="VS281" s="74"/>
      <c r="VT281" s="74"/>
      <c r="VU281" s="74"/>
      <c r="VV281" s="74"/>
      <c r="VW281" s="74"/>
      <c r="VX281" s="74"/>
      <c r="VY281" s="74"/>
      <c r="VZ281" s="74"/>
      <c r="WA281" s="74"/>
      <c r="WB281" s="74"/>
      <c r="WC281" s="74"/>
      <c r="WD281" s="74"/>
      <c r="WE281" s="74"/>
      <c r="WF281" s="74"/>
      <c r="WG281" s="74"/>
      <c r="WH281" s="74"/>
      <c r="WI281" s="74"/>
      <c r="WJ281" s="74"/>
      <c r="WK281" s="74"/>
      <c r="WL281" s="74"/>
      <c r="WM281" s="74"/>
      <c r="WN281" s="74"/>
      <c r="WO281" s="74"/>
      <c r="WP281" s="74"/>
      <c r="WQ281" s="74"/>
      <c r="WR281" s="74"/>
      <c r="WS281" s="74"/>
      <c r="WT281" s="74"/>
      <c r="WU281" s="74"/>
      <c r="WV281" s="74"/>
      <c r="WW281" s="74"/>
      <c r="WX281" s="74"/>
      <c r="WY281" s="74"/>
      <c r="WZ281" s="74"/>
      <c r="XA281" s="74"/>
      <c r="XB281" s="74"/>
      <c r="XC281" s="74"/>
      <c r="XD281" s="74"/>
      <c r="XE281" s="74"/>
      <c r="XF281" s="74"/>
      <c r="XG281" s="74"/>
      <c r="XH281" s="74"/>
      <c r="XI281" s="74"/>
      <c r="XJ281" s="74"/>
      <c r="XK281" s="74"/>
      <c r="XL281" s="74"/>
      <c r="XM281" s="74"/>
      <c r="XN281" s="74"/>
      <c r="XO281" s="74"/>
      <c r="XP281" s="74"/>
      <c r="XQ281" s="74"/>
      <c r="XR281" s="74"/>
      <c r="XS281" s="74"/>
      <c r="XT281" s="74"/>
      <c r="XU281" s="74"/>
      <c r="XV281" s="74"/>
      <c r="XW281" s="74"/>
      <c r="XX281" s="74"/>
      <c r="XY281" s="74"/>
      <c r="XZ281" s="74"/>
      <c r="YA281" s="74"/>
      <c r="YB281" s="74"/>
      <c r="YC281" s="74"/>
      <c r="YD281" s="74"/>
      <c r="YE281" s="74"/>
      <c r="YF281" s="74"/>
      <c r="YG281" s="74"/>
      <c r="YH281" s="74"/>
      <c r="YI281" s="74"/>
      <c r="YJ281" s="74"/>
      <c r="YK281" s="74"/>
      <c r="YL281" s="74"/>
      <c r="YM281" s="74"/>
      <c r="YN281" s="74"/>
      <c r="YO281" s="74"/>
      <c r="YP281" s="74"/>
      <c r="YQ281" s="74"/>
      <c r="YR281" s="74"/>
      <c r="YS281" s="74"/>
      <c r="YT281" s="74"/>
      <c r="YU281" s="74"/>
      <c r="YV281" s="74"/>
      <c r="YW281" s="74"/>
      <c r="YX281" s="74"/>
      <c r="YY281" s="74"/>
      <c r="YZ281" s="74"/>
      <c r="ZA281" s="74"/>
      <c r="ZB281" s="74"/>
      <c r="ZC281" s="74"/>
      <c r="ZD281" s="74"/>
      <c r="ZE281" s="74"/>
      <c r="ZF281" s="74"/>
      <c r="ZG281" s="74"/>
      <c r="ZH281" s="74"/>
      <c r="ZI281" s="74"/>
      <c r="ZJ281" s="74"/>
      <c r="ZK281" s="74"/>
      <c r="ZL281" s="74"/>
      <c r="ZM281" s="74"/>
      <c r="ZN281" s="74"/>
      <c r="ZO281" s="74"/>
      <c r="ZP281" s="74"/>
      <c r="ZQ281" s="74"/>
      <c r="ZR281" s="74"/>
      <c r="ZS281" s="74"/>
      <c r="ZT281" s="74"/>
      <c r="ZU281" s="74"/>
      <c r="ZV281" s="74"/>
      <c r="ZW281" s="74"/>
      <c r="ZX281" s="74"/>
      <c r="ZY281" s="74"/>
      <c r="ZZ281" s="74"/>
      <c r="AAA281" s="74"/>
      <c r="AAB281" s="74"/>
      <c r="AAC281" s="74"/>
      <c r="AAD281" s="74"/>
      <c r="AAE281" s="74"/>
      <c r="AAF281" s="74"/>
      <c r="AAG281" s="74"/>
      <c r="AAH281" s="74"/>
      <c r="AAI281" s="74"/>
      <c r="AAJ281" s="74"/>
      <c r="AAK281" s="74"/>
      <c r="AAL281" s="74"/>
      <c r="AAM281" s="74"/>
      <c r="AAN281" s="74"/>
      <c r="AAO281" s="74"/>
      <c r="AAP281" s="74"/>
      <c r="AAQ281" s="74"/>
      <c r="AAR281" s="74"/>
      <c r="AAS281" s="74"/>
      <c r="AAT281" s="74"/>
      <c r="AAU281" s="74"/>
      <c r="AAV281" s="74"/>
      <c r="AAW281" s="74"/>
      <c r="AAX281" s="74"/>
      <c r="AAY281" s="74"/>
      <c r="AAZ281" s="74"/>
      <c r="ABA281" s="74"/>
      <c r="ABB281" s="74"/>
      <c r="ABC281" s="74"/>
      <c r="ABD281" s="74"/>
      <c r="ABE281" s="74"/>
      <c r="ABF281" s="74"/>
      <c r="ABG281" s="74"/>
      <c r="ABH281" s="74"/>
      <c r="ABI281" s="74"/>
      <c r="ABJ281" s="74"/>
      <c r="ABK281" s="74"/>
      <c r="ABL281" s="74"/>
      <c r="ABM281" s="74"/>
      <c r="ABN281" s="74"/>
      <c r="ABO281" s="74"/>
      <c r="ABP281" s="74"/>
      <c r="ABQ281" s="74"/>
      <c r="ABR281" s="74"/>
      <c r="ABS281" s="74"/>
      <c r="ABT281" s="74"/>
      <c r="ABU281" s="74"/>
      <c r="ABV281" s="74"/>
      <c r="ABW281" s="74"/>
      <c r="ABX281" s="74"/>
      <c r="ABY281" s="74"/>
      <c r="ABZ281" s="74"/>
      <c r="ACA281" s="74"/>
      <c r="ACB281" s="74"/>
      <c r="ACC281" s="74"/>
      <c r="ACD281" s="74"/>
      <c r="ACE281" s="74"/>
      <c r="ACF281" s="74"/>
      <c r="ACG281" s="74"/>
      <c r="ACH281" s="74"/>
      <c r="ACI281" s="74"/>
      <c r="ACJ281" s="74"/>
      <c r="ACK281" s="74"/>
      <c r="ACL281" s="74"/>
      <c r="ACM281" s="74"/>
      <c r="ACN281" s="74"/>
      <c r="ACO281" s="74"/>
      <c r="ACP281" s="74"/>
      <c r="ACQ281" s="74"/>
      <c r="ACR281" s="74"/>
      <c r="ACS281" s="74"/>
      <c r="ACT281" s="74"/>
      <c r="ACU281" s="74"/>
      <c r="ACV281" s="74"/>
      <c r="ACW281" s="74"/>
      <c r="ACX281" s="74"/>
      <c r="ACY281" s="74"/>
      <c r="ACZ281" s="74"/>
      <c r="ADA281" s="74"/>
      <c r="ADB281" s="74"/>
      <c r="ADC281" s="74"/>
      <c r="ADD281" s="74"/>
      <c r="ADE281" s="74"/>
      <c r="ADF281" s="74"/>
      <c r="ADG281" s="74"/>
      <c r="ADH281" s="74"/>
      <c r="ADI281" s="74"/>
      <c r="ADJ281" s="74"/>
      <c r="ADK281" s="74"/>
      <c r="ADL281" s="74"/>
      <c r="ADM281" s="74"/>
      <c r="ADN281" s="74"/>
      <c r="ADO281" s="74"/>
      <c r="ADP281" s="74"/>
      <c r="ADQ281" s="74"/>
      <c r="ADR281" s="74"/>
      <c r="ADS281" s="74"/>
      <c r="ADT281" s="74"/>
      <c r="ADU281" s="74"/>
      <c r="ADV281" s="74"/>
      <c r="ADW281" s="74"/>
      <c r="ADX281" s="74"/>
      <c r="ADY281" s="74"/>
      <c r="ADZ281" s="74"/>
      <c r="AEA281" s="74"/>
      <c r="AEB281" s="74"/>
      <c r="AEC281" s="74"/>
      <c r="AED281" s="74"/>
      <c r="AEE281" s="74"/>
      <c r="AEF281" s="74"/>
      <c r="AEG281" s="74"/>
      <c r="AEH281" s="74"/>
      <c r="AEI281" s="74"/>
      <c r="AEJ281" s="74"/>
      <c r="AEK281" s="74"/>
      <c r="AEL281" s="74"/>
      <c r="AEM281" s="74"/>
      <c r="AEN281" s="74"/>
      <c r="AEO281" s="74"/>
      <c r="AEP281" s="74"/>
      <c r="AEQ281" s="74"/>
      <c r="AER281" s="74"/>
      <c r="AES281" s="74"/>
      <c r="AET281" s="74"/>
      <c r="AEU281" s="74"/>
      <c r="AEV281" s="74"/>
      <c r="AEW281" s="74"/>
      <c r="AEX281" s="74"/>
      <c r="AEY281" s="74"/>
      <c r="AEZ281" s="74"/>
      <c r="AFA281" s="74"/>
      <c r="AFB281" s="74"/>
      <c r="AFC281" s="74"/>
      <c r="AFD281" s="74"/>
      <c r="AFE281" s="74"/>
      <c r="AFF281" s="74"/>
      <c r="AFG281" s="74"/>
      <c r="AFH281" s="74"/>
      <c r="AFI281" s="74"/>
      <c r="AFJ281" s="74"/>
      <c r="AFK281" s="74"/>
      <c r="AFL281" s="74"/>
      <c r="AFM281" s="74"/>
      <c r="AFN281" s="74"/>
      <c r="AFO281" s="74"/>
      <c r="AFP281" s="74"/>
      <c r="AFQ281" s="74"/>
      <c r="AFR281" s="74"/>
      <c r="AFS281" s="74"/>
      <c r="AFT281" s="74"/>
      <c r="AFU281" s="74"/>
      <c r="AFV281" s="74"/>
      <c r="AFW281" s="74"/>
      <c r="AFX281" s="74"/>
      <c r="AFY281" s="74"/>
      <c r="AFZ281" s="74"/>
      <c r="AGA281" s="74"/>
      <c r="AGB281" s="74"/>
      <c r="AGC281" s="74"/>
      <c r="AGD281" s="74"/>
      <c r="AGE281" s="74"/>
      <c r="AGF281" s="74"/>
      <c r="AGG281" s="74"/>
      <c r="AGH281" s="74"/>
      <c r="AGI281" s="74"/>
      <c r="AGJ281" s="74"/>
      <c r="AGK281" s="74"/>
      <c r="AGL281" s="74"/>
      <c r="AGM281" s="74"/>
      <c r="AGN281" s="74"/>
      <c r="AGO281" s="74"/>
      <c r="AGP281" s="74"/>
      <c r="AGQ281" s="74"/>
      <c r="AGR281" s="74"/>
      <c r="AGS281" s="74"/>
      <c r="AGT281" s="74"/>
      <c r="AGU281" s="74"/>
      <c r="AGV281" s="74"/>
      <c r="AGW281" s="74"/>
      <c r="AGX281" s="74"/>
      <c r="AGY281" s="74"/>
      <c r="AGZ281" s="74"/>
      <c r="AHA281" s="74"/>
      <c r="AHB281" s="74"/>
      <c r="AHC281" s="74"/>
      <c r="AHD281" s="74"/>
      <c r="AHE281" s="74"/>
      <c r="AHF281" s="74"/>
      <c r="AHG281" s="74"/>
      <c r="AHH281" s="74"/>
      <c r="AHI281" s="74"/>
      <c r="AHJ281" s="74"/>
      <c r="AHK281" s="74"/>
      <c r="AHL281" s="74"/>
      <c r="AHM281" s="74"/>
      <c r="AHN281" s="74"/>
      <c r="AHO281" s="74"/>
      <c r="AHP281" s="74"/>
      <c r="AHQ281" s="74"/>
      <c r="AHR281" s="74"/>
      <c r="AHS281" s="74"/>
      <c r="AHT281" s="74"/>
      <c r="AHU281" s="74"/>
      <c r="AHV281" s="74"/>
      <c r="AHW281" s="74"/>
      <c r="AHX281" s="74"/>
      <c r="AHY281" s="74"/>
      <c r="AHZ281" s="74"/>
      <c r="AIA281" s="74"/>
      <c r="AIB281" s="74"/>
      <c r="AIC281" s="74"/>
      <c r="AID281" s="74"/>
      <c r="AIE281" s="74"/>
      <c r="AIF281" s="74"/>
      <c r="AIG281" s="74"/>
      <c r="AIH281" s="74"/>
      <c r="AII281" s="74"/>
      <c r="AIJ281" s="74"/>
      <c r="AIK281" s="74"/>
      <c r="AIL281" s="74"/>
      <c r="AIM281" s="74"/>
      <c r="AIN281" s="74"/>
      <c r="AIO281" s="74"/>
      <c r="AIP281" s="74"/>
      <c r="AIQ281" s="74"/>
      <c r="AIR281" s="74"/>
      <c r="AIS281" s="74"/>
      <c r="AIT281" s="74"/>
      <c r="AIU281" s="74"/>
      <c r="AIV281" s="74"/>
      <c r="AIW281" s="74"/>
      <c r="AIX281" s="74"/>
      <c r="AIY281" s="74"/>
      <c r="AIZ281" s="74"/>
      <c r="AJA281" s="74"/>
      <c r="AJB281" s="74"/>
      <c r="AJC281" s="74"/>
      <c r="AJD281" s="74"/>
      <c r="AJE281" s="74"/>
      <c r="AJF281" s="74"/>
      <c r="AJG281" s="74"/>
      <c r="AJH281" s="74"/>
      <c r="AJI281" s="74"/>
      <c r="AJJ281" s="74"/>
      <c r="AJK281" s="74"/>
      <c r="AJL281" s="74"/>
      <c r="AJM281" s="74"/>
      <c r="AJN281" s="74"/>
      <c r="AJO281" s="74"/>
      <c r="AJP281" s="74"/>
      <c r="AJQ281" s="74"/>
      <c r="AJR281" s="74"/>
      <c r="AJS281" s="74"/>
      <c r="AJT281" s="74"/>
      <c r="AJU281" s="74"/>
      <c r="AJV281" s="74"/>
      <c r="AJW281" s="74"/>
      <c r="AJX281" s="74"/>
      <c r="AJY281" s="74"/>
      <c r="AJZ281" s="74"/>
      <c r="AKA281" s="74"/>
      <c r="AKB281" s="74"/>
      <c r="AKC281" s="74"/>
      <c r="AKD281" s="74"/>
      <c r="AKE281" s="74"/>
      <c r="AKF281" s="74"/>
      <c r="AKG281" s="74"/>
      <c r="AKH281" s="74"/>
      <c r="AKI281" s="74"/>
      <c r="AKJ281" s="74"/>
      <c r="AKK281" s="74"/>
      <c r="AKL281" s="74"/>
      <c r="AKM281" s="74"/>
      <c r="AKN281" s="74"/>
      <c r="AKO281" s="74"/>
      <c r="AKP281" s="74"/>
      <c r="AKQ281" s="74"/>
      <c r="AKR281" s="74"/>
      <c r="AKS281" s="74"/>
      <c r="AKT281" s="74"/>
      <c r="AKU281" s="74"/>
      <c r="AKV281" s="74"/>
      <c r="AKW281" s="74"/>
      <c r="AKX281" s="74"/>
      <c r="AKY281" s="74"/>
      <c r="AKZ281" s="74"/>
      <c r="ALA281" s="74"/>
      <c r="ALB281" s="74"/>
      <c r="ALC281" s="74"/>
      <c r="ALD281" s="74"/>
      <c r="ALE281" s="74"/>
      <c r="ALF281" s="74"/>
      <c r="ALG281" s="74"/>
      <c r="ALH281" s="74"/>
      <c r="ALI281" s="74"/>
      <c r="ALJ281" s="74"/>
      <c r="ALK281" s="74"/>
      <c r="ALL281" s="74"/>
      <c r="ALM281" s="74"/>
      <c r="ALN281" s="74"/>
      <c r="ALO281" s="74"/>
      <c r="ALP281" s="74"/>
      <c r="ALQ281" s="74"/>
      <c r="ALR281" s="74"/>
      <c r="ALS281" s="74"/>
      <c r="ALT281" s="74"/>
      <c r="ALU281" s="74"/>
      <c r="ALV281" s="74"/>
      <c r="ALW281" s="74"/>
      <c r="ALX281" s="74"/>
      <c r="ALY281" s="74"/>
      <c r="ALZ281" s="74"/>
      <c r="AMA281" s="74"/>
      <c r="AMB281" s="74"/>
      <c r="AMC281" s="74"/>
      <c r="AMD281" s="74"/>
      <c r="AME281" s="74"/>
      <c r="AMF281" s="74"/>
      <c r="AMG281" s="74"/>
      <c r="AMH281" s="74"/>
      <c r="AMI281" s="74"/>
    </row>
    <row r="282" spans="1:1023" s="94" customFormat="1" x14ac:dyDescent="0.25">
      <c r="A282" s="203"/>
      <c r="B282" s="92" t="s">
        <v>144</v>
      </c>
      <c r="C282" s="93"/>
      <c r="D282" s="93"/>
      <c r="E282" s="113"/>
      <c r="F282" s="113"/>
      <c r="G282" s="128"/>
      <c r="H282" s="166"/>
      <c r="I282" s="113"/>
      <c r="J282" s="55"/>
      <c r="K282" s="144">
        <f>ROUND(H282*E282,2)</f>
        <v>0</v>
      </c>
      <c r="L282" s="200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  <c r="AW282" s="74"/>
      <c r="AX282" s="74"/>
      <c r="AY282" s="74"/>
      <c r="AZ282" s="74"/>
      <c r="BA282" s="74"/>
      <c r="BB282" s="74"/>
      <c r="BC282" s="74"/>
      <c r="BD282" s="74"/>
      <c r="BE282" s="74"/>
      <c r="BF282" s="74"/>
      <c r="BG282" s="74"/>
      <c r="BH282" s="74"/>
      <c r="BI282" s="74"/>
      <c r="BJ282" s="74"/>
      <c r="BK282" s="74"/>
      <c r="BL282" s="74"/>
      <c r="BM282" s="74"/>
      <c r="BN282" s="74"/>
      <c r="BO282" s="74"/>
      <c r="BP282" s="74"/>
      <c r="BQ282" s="74"/>
      <c r="BR282" s="74"/>
      <c r="BS282" s="74"/>
      <c r="BT282" s="74"/>
      <c r="BU282" s="74"/>
      <c r="BV282" s="74"/>
      <c r="BW282" s="74"/>
      <c r="BX282" s="74"/>
      <c r="BY282" s="74"/>
      <c r="BZ282" s="74"/>
      <c r="CA282" s="74"/>
      <c r="CB282" s="74"/>
      <c r="CC282" s="74"/>
      <c r="CD282" s="74"/>
      <c r="CE282" s="74"/>
      <c r="CF282" s="74"/>
      <c r="CG282" s="74"/>
      <c r="CH282" s="74"/>
      <c r="CI282" s="74"/>
      <c r="CJ282" s="74"/>
      <c r="CK282" s="74"/>
      <c r="CL282" s="74"/>
      <c r="CM282" s="74"/>
      <c r="CN282" s="74"/>
      <c r="CO282" s="74"/>
      <c r="CP282" s="74"/>
      <c r="CQ282" s="74"/>
      <c r="CR282" s="74"/>
      <c r="CS282" s="74"/>
      <c r="CT282" s="74"/>
      <c r="CU282" s="74"/>
      <c r="CV282" s="74"/>
      <c r="CW282" s="74"/>
      <c r="CX282" s="74"/>
      <c r="CY282" s="74"/>
      <c r="CZ282" s="74"/>
      <c r="DA282" s="74"/>
      <c r="DB282" s="74"/>
      <c r="DC282" s="74"/>
      <c r="DD282" s="74"/>
      <c r="DE282" s="74"/>
      <c r="DF282" s="74"/>
      <c r="DG282" s="74"/>
      <c r="DH282" s="74"/>
      <c r="DI282" s="74"/>
      <c r="DJ282" s="74"/>
      <c r="DK282" s="74"/>
      <c r="DL282" s="74"/>
      <c r="DM282" s="74"/>
      <c r="DN282" s="74"/>
      <c r="DO282" s="74"/>
      <c r="DP282" s="74"/>
      <c r="DQ282" s="74"/>
      <c r="DR282" s="74"/>
      <c r="DS282" s="74"/>
      <c r="DT282" s="74"/>
      <c r="DU282" s="74"/>
      <c r="DV282" s="74"/>
      <c r="DW282" s="74"/>
      <c r="DX282" s="74"/>
      <c r="DY282" s="74"/>
      <c r="DZ282" s="74"/>
      <c r="EA282" s="74"/>
      <c r="EB282" s="74"/>
      <c r="EC282" s="74"/>
      <c r="ED282" s="74"/>
      <c r="EE282" s="74"/>
      <c r="EF282" s="74"/>
      <c r="EG282" s="74"/>
      <c r="EH282" s="74"/>
      <c r="EI282" s="74"/>
      <c r="EJ282" s="74"/>
      <c r="EK282" s="74"/>
      <c r="EL282" s="74"/>
      <c r="EM282" s="74"/>
      <c r="EN282" s="74"/>
      <c r="EO282" s="74"/>
      <c r="EP282" s="74"/>
      <c r="EQ282" s="74"/>
      <c r="ER282" s="74"/>
      <c r="ES282" s="74"/>
      <c r="ET282" s="74"/>
      <c r="EU282" s="74"/>
      <c r="EV282" s="74"/>
      <c r="EW282" s="74"/>
      <c r="EX282" s="74"/>
      <c r="EY282" s="74"/>
      <c r="EZ282" s="74"/>
      <c r="FA282" s="74"/>
      <c r="FB282" s="74"/>
      <c r="FC282" s="74"/>
      <c r="FD282" s="74"/>
      <c r="FE282" s="74"/>
      <c r="FF282" s="74"/>
      <c r="FG282" s="74"/>
      <c r="FH282" s="74"/>
      <c r="FI282" s="74"/>
      <c r="FJ282" s="74"/>
      <c r="FK282" s="74"/>
      <c r="FL282" s="74"/>
      <c r="FM282" s="74"/>
      <c r="FN282" s="74"/>
      <c r="FO282" s="74"/>
      <c r="FP282" s="74"/>
      <c r="FQ282" s="74"/>
      <c r="FR282" s="74"/>
      <c r="FS282" s="74"/>
      <c r="FT282" s="74"/>
      <c r="FU282" s="74"/>
      <c r="FV282" s="74"/>
      <c r="FW282" s="74"/>
      <c r="FX282" s="74"/>
      <c r="FY282" s="74"/>
      <c r="FZ282" s="74"/>
      <c r="GA282" s="74"/>
      <c r="GB282" s="74"/>
      <c r="GC282" s="74"/>
      <c r="GD282" s="74"/>
      <c r="GE282" s="74"/>
      <c r="GF282" s="74"/>
      <c r="GG282" s="74"/>
      <c r="GH282" s="74"/>
      <c r="GI282" s="74"/>
      <c r="GJ282" s="74"/>
      <c r="GK282" s="74"/>
      <c r="GL282" s="74"/>
      <c r="GM282" s="74"/>
      <c r="GN282" s="74"/>
      <c r="GO282" s="74"/>
      <c r="GP282" s="74"/>
      <c r="GQ282" s="74"/>
      <c r="GR282" s="74"/>
      <c r="GS282" s="74"/>
      <c r="GT282" s="74"/>
      <c r="GU282" s="74"/>
      <c r="GV282" s="74"/>
      <c r="GW282" s="74"/>
      <c r="GX282" s="74"/>
      <c r="GY282" s="74"/>
      <c r="GZ282" s="74"/>
      <c r="HA282" s="74"/>
      <c r="HB282" s="74"/>
      <c r="HC282" s="74"/>
      <c r="HD282" s="74"/>
      <c r="HE282" s="74"/>
      <c r="HF282" s="74"/>
      <c r="HG282" s="74"/>
      <c r="HH282" s="74"/>
      <c r="HI282" s="74"/>
      <c r="HJ282" s="74"/>
      <c r="HK282" s="74"/>
      <c r="HL282" s="74"/>
      <c r="HM282" s="74"/>
      <c r="HN282" s="74"/>
      <c r="HO282" s="74"/>
      <c r="HP282" s="74"/>
      <c r="HQ282" s="74"/>
      <c r="HR282" s="74"/>
      <c r="HS282" s="74"/>
      <c r="HT282" s="74"/>
      <c r="HU282" s="74"/>
      <c r="HV282" s="74"/>
      <c r="HW282" s="74"/>
      <c r="HX282" s="74"/>
      <c r="HY282" s="74"/>
      <c r="HZ282" s="74"/>
      <c r="IA282" s="74"/>
      <c r="IB282" s="74"/>
      <c r="IC282" s="74"/>
      <c r="ID282" s="74"/>
      <c r="IE282" s="74"/>
      <c r="IF282" s="74"/>
      <c r="IG282" s="74"/>
      <c r="IH282" s="74"/>
      <c r="II282" s="74"/>
      <c r="IJ282" s="74"/>
      <c r="IK282" s="74"/>
      <c r="IL282" s="74"/>
      <c r="IM282" s="74"/>
      <c r="IN282" s="74"/>
      <c r="IO282" s="74"/>
      <c r="IP282" s="74"/>
      <c r="IQ282" s="74"/>
      <c r="IR282" s="74"/>
      <c r="IS282" s="74"/>
      <c r="IT282" s="74"/>
      <c r="IU282" s="74"/>
      <c r="IV282" s="74"/>
      <c r="IW282" s="74"/>
      <c r="IX282" s="74"/>
      <c r="IY282" s="74"/>
      <c r="IZ282" s="74"/>
      <c r="JA282" s="74"/>
      <c r="JB282" s="74"/>
      <c r="JC282" s="74"/>
      <c r="JD282" s="74"/>
      <c r="JE282" s="74"/>
      <c r="JF282" s="74"/>
      <c r="JG282" s="74"/>
      <c r="JH282" s="74"/>
      <c r="JI282" s="74"/>
      <c r="JJ282" s="74"/>
      <c r="JK282" s="74"/>
      <c r="JL282" s="74"/>
      <c r="JM282" s="74"/>
      <c r="JN282" s="74"/>
      <c r="JO282" s="74"/>
      <c r="JP282" s="74"/>
      <c r="JQ282" s="74"/>
      <c r="JR282" s="74"/>
      <c r="JS282" s="74"/>
      <c r="JT282" s="74"/>
      <c r="JU282" s="74"/>
      <c r="JV282" s="74"/>
      <c r="JW282" s="74"/>
      <c r="JX282" s="74"/>
      <c r="JY282" s="74"/>
      <c r="JZ282" s="74"/>
      <c r="KA282" s="74"/>
      <c r="KB282" s="74"/>
      <c r="KC282" s="74"/>
      <c r="KD282" s="74"/>
      <c r="KE282" s="74"/>
      <c r="KF282" s="74"/>
      <c r="KG282" s="74"/>
      <c r="KH282" s="74"/>
      <c r="KI282" s="74"/>
      <c r="KJ282" s="74"/>
      <c r="KK282" s="74"/>
      <c r="KL282" s="74"/>
      <c r="KM282" s="74"/>
      <c r="KN282" s="74"/>
      <c r="KO282" s="74"/>
      <c r="KP282" s="74"/>
      <c r="KQ282" s="74"/>
      <c r="KR282" s="74"/>
      <c r="KS282" s="74"/>
      <c r="KT282" s="74"/>
      <c r="KU282" s="74"/>
      <c r="KV282" s="74"/>
      <c r="KW282" s="74"/>
      <c r="KX282" s="74"/>
      <c r="KY282" s="74"/>
      <c r="KZ282" s="74"/>
      <c r="LA282" s="74"/>
      <c r="LB282" s="74"/>
      <c r="LC282" s="74"/>
      <c r="LD282" s="74"/>
      <c r="LE282" s="74"/>
      <c r="LF282" s="74"/>
      <c r="LG282" s="74"/>
      <c r="LH282" s="74"/>
      <c r="LI282" s="74"/>
      <c r="LJ282" s="74"/>
      <c r="LK282" s="74"/>
      <c r="LL282" s="74"/>
      <c r="LM282" s="74"/>
      <c r="LN282" s="74"/>
      <c r="LO282" s="74"/>
      <c r="LP282" s="74"/>
      <c r="LQ282" s="74"/>
      <c r="LR282" s="74"/>
      <c r="LS282" s="74"/>
      <c r="LT282" s="74"/>
      <c r="LU282" s="74"/>
      <c r="LV282" s="74"/>
      <c r="LW282" s="74"/>
      <c r="LX282" s="74"/>
      <c r="LY282" s="74"/>
      <c r="LZ282" s="74"/>
      <c r="MA282" s="74"/>
      <c r="MB282" s="74"/>
      <c r="MC282" s="74"/>
      <c r="MD282" s="74"/>
      <c r="ME282" s="74"/>
      <c r="MF282" s="74"/>
      <c r="MG282" s="74"/>
      <c r="MH282" s="74"/>
      <c r="MI282" s="74"/>
      <c r="MJ282" s="74"/>
      <c r="MK282" s="74"/>
      <c r="ML282" s="74"/>
      <c r="MM282" s="74"/>
      <c r="MN282" s="74"/>
      <c r="MO282" s="74"/>
      <c r="MP282" s="74"/>
      <c r="MQ282" s="74"/>
      <c r="MR282" s="74"/>
      <c r="MS282" s="74"/>
      <c r="MT282" s="74"/>
      <c r="MU282" s="74"/>
      <c r="MV282" s="74"/>
      <c r="MW282" s="74"/>
      <c r="MX282" s="74"/>
      <c r="MY282" s="74"/>
      <c r="MZ282" s="74"/>
      <c r="NA282" s="74"/>
      <c r="NB282" s="74"/>
      <c r="NC282" s="74"/>
      <c r="ND282" s="74"/>
      <c r="NE282" s="74"/>
      <c r="NF282" s="74"/>
      <c r="NG282" s="74"/>
      <c r="NH282" s="74"/>
      <c r="NI282" s="74"/>
      <c r="NJ282" s="74"/>
      <c r="NK282" s="74"/>
      <c r="NL282" s="74"/>
      <c r="NM282" s="74"/>
      <c r="NN282" s="74"/>
      <c r="NO282" s="74"/>
      <c r="NP282" s="74"/>
      <c r="NQ282" s="74"/>
      <c r="NR282" s="74"/>
      <c r="NS282" s="74"/>
      <c r="NT282" s="74"/>
      <c r="NU282" s="74"/>
      <c r="NV282" s="74"/>
      <c r="NW282" s="74"/>
      <c r="NX282" s="74"/>
      <c r="NY282" s="74"/>
      <c r="NZ282" s="74"/>
      <c r="OA282" s="74"/>
      <c r="OB282" s="74"/>
      <c r="OC282" s="74"/>
      <c r="OD282" s="74"/>
      <c r="OE282" s="74"/>
      <c r="OF282" s="74"/>
      <c r="OG282" s="74"/>
      <c r="OH282" s="74"/>
      <c r="OI282" s="74"/>
      <c r="OJ282" s="74"/>
      <c r="OK282" s="74"/>
      <c r="OL282" s="74"/>
      <c r="OM282" s="74"/>
      <c r="ON282" s="74"/>
      <c r="OO282" s="74"/>
      <c r="OP282" s="74"/>
      <c r="OQ282" s="74"/>
      <c r="OR282" s="74"/>
      <c r="OS282" s="74"/>
      <c r="OT282" s="74"/>
      <c r="OU282" s="74"/>
      <c r="OV282" s="74"/>
      <c r="OW282" s="74"/>
      <c r="OX282" s="74"/>
      <c r="OY282" s="74"/>
      <c r="OZ282" s="74"/>
      <c r="PA282" s="74"/>
      <c r="PB282" s="74"/>
      <c r="PC282" s="74"/>
      <c r="PD282" s="74"/>
      <c r="PE282" s="74"/>
      <c r="PF282" s="74"/>
      <c r="PG282" s="74"/>
      <c r="PH282" s="74"/>
      <c r="PI282" s="74"/>
      <c r="PJ282" s="74"/>
      <c r="PK282" s="74"/>
      <c r="PL282" s="74"/>
      <c r="PM282" s="74"/>
      <c r="PN282" s="74"/>
      <c r="PO282" s="74"/>
      <c r="PP282" s="74"/>
      <c r="PQ282" s="74"/>
      <c r="PR282" s="74"/>
      <c r="PS282" s="74"/>
      <c r="PT282" s="74"/>
      <c r="PU282" s="74"/>
      <c r="PV282" s="74"/>
      <c r="PW282" s="74"/>
      <c r="PX282" s="74"/>
      <c r="PY282" s="74"/>
      <c r="PZ282" s="74"/>
      <c r="QA282" s="74"/>
      <c r="QB282" s="74"/>
      <c r="QC282" s="74"/>
      <c r="QD282" s="74"/>
      <c r="QE282" s="74"/>
      <c r="QF282" s="74"/>
      <c r="QG282" s="74"/>
      <c r="QH282" s="74"/>
      <c r="QI282" s="74"/>
      <c r="QJ282" s="74"/>
      <c r="QK282" s="74"/>
      <c r="QL282" s="74"/>
      <c r="QM282" s="74"/>
      <c r="QN282" s="74"/>
      <c r="QO282" s="74"/>
      <c r="QP282" s="74"/>
      <c r="QQ282" s="74"/>
      <c r="QR282" s="74"/>
      <c r="QS282" s="74"/>
      <c r="QT282" s="74"/>
      <c r="QU282" s="74"/>
      <c r="QV282" s="74"/>
      <c r="QW282" s="74"/>
      <c r="QX282" s="74"/>
      <c r="QY282" s="74"/>
      <c r="QZ282" s="74"/>
      <c r="RA282" s="74"/>
      <c r="RB282" s="74"/>
      <c r="RC282" s="74"/>
      <c r="RD282" s="74"/>
      <c r="RE282" s="74"/>
      <c r="RF282" s="74"/>
      <c r="RG282" s="74"/>
      <c r="RH282" s="74"/>
      <c r="RI282" s="74"/>
      <c r="RJ282" s="74"/>
      <c r="RK282" s="74"/>
      <c r="RL282" s="74"/>
      <c r="RM282" s="74"/>
      <c r="RN282" s="74"/>
      <c r="RO282" s="74"/>
      <c r="RP282" s="74"/>
      <c r="RQ282" s="74"/>
      <c r="RR282" s="74"/>
      <c r="RS282" s="74"/>
      <c r="RT282" s="74"/>
      <c r="RU282" s="74"/>
      <c r="RV282" s="74"/>
      <c r="RW282" s="74"/>
      <c r="RX282" s="74"/>
      <c r="RY282" s="74"/>
      <c r="RZ282" s="74"/>
      <c r="SA282" s="74"/>
      <c r="SB282" s="74"/>
      <c r="SC282" s="74"/>
      <c r="SD282" s="74"/>
      <c r="SE282" s="74"/>
      <c r="SF282" s="74"/>
      <c r="SG282" s="74"/>
      <c r="SH282" s="74"/>
      <c r="SI282" s="74"/>
      <c r="SJ282" s="74"/>
      <c r="SK282" s="74"/>
      <c r="SL282" s="74"/>
      <c r="SM282" s="74"/>
      <c r="SN282" s="74"/>
      <c r="SO282" s="74"/>
      <c r="SP282" s="74"/>
      <c r="SQ282" s="74"/>
      <c r="SR282" s="74"/>
      <c r="SS282" s="74"/>
      <c r="ST282" s="74"/>
      <c r="SU282" s="74"/>
      <c r="SV282" s="74"/>
      <c r="SW282" s="74"/>
      <c r="SX282" s="74"/>
      <c r="SY282" s="74"/>
      <c r="SZ282" s="74"/>
      <c r="TA282" s="74"/>
      <c r="TB282" s="74"/>
      <c r="TC282" s="74"/>
      <c r="TD282" s="74"/>
      <c r="TE282" s="74"/>
      <c r="TF282" s="74"/>
      <c r="TG282" s="74"/>
      <c r="TH282" s="74"/>
      <c r="TI282" s="74"/>
      <c r="TJ282" s="74"/>
      <c r="TK282" s="74"/>
      <c r="TL282" s="74"/>
      <c r="TM282" s="74"/>
      <c r="TN282" s="74"/>
      <c r="TO282" s="74"/>
      <c r="TP282" s="74"/>
      <c r="TQ282" s="74"/>
      <c r="TR282" s="74"/>
      <c r="TS282" s="74"/>
      <c r="TT282" s="74"/>
      <c r="TU282" s="74"/>
      <c r="TV282" s="74"/>
      <c r="TW282" s="74"/>
      <c r="TX282" s="74"/>
      <c r="TY282" s="74"/>
      <c r="TZ282" s="74"/>
      <c r="UA282" s="74"/>
      <c r="UB282" s="74"/>
      <c r="UC282" s="74"/>
      <c r="UD282" s="74"/>
      <c r="UE282" s="74"/>
      <c r="UF282" s="74"/>
      <c r="UG282" s="74"/>
      <c r="UH282" s="74"/>
      <c r="UI282" s="74"/>
      <c r="UJ282" s="74"/>
      <c r="UK282" s="74"/>
      <c r="UL282" s="74"/>
      <c r="UM282" s="74"/>
      <c r="UN282" s="74"/>
      <c r="UO282" s="74"/>
      <c r="UP282" s="74"/>
      <c r="UQ282" s="74"/>
      <c r="UR282" s="74"/>
      <c r="US282" s="74"/>
      <c r="UT282" s="74"/>
      <c r="UU282" s="74"/>
      <c r="UV282" s="74"/>
      <c r="UW282" s="74"/>
      <c r="UX282" s="74"/>
      <c r="UY282" s="74"/>
      <c r="UZ282" s="74"/>
      <c r="VA282" s="74"/>
      <c r="VB282" s="74"/>
      <c r="VC282" s="74"/>
      <c r="VD282" s="74"/>
      <c r="VE282" s="74"/>
      <c r="VF282" s="74"/>
      <c r="VG282" s="74"/>
      <c r="VH282" s="74"/>
      <c r="VI282" s="74"/>
      <c r="VJ282" s="74"/>
      <c r="VK282" s="74"/>
      <c r="VL282" s="74"/>
      <c r="VM282" s="74"/>
      <c r="VN282" s="74"/>
      <c r="VO282" s="74"/>
      <c r="VP282" s="74"/>
      <c r="VQ282" s="74"/>
      <c r="VR282" s="74"/>
      <c r="VS282" s="74"/>
      <c r="VT282" s="74"/>
      <c r="VU282" s="74"/>
      <c r="VV282" s="74"/>
      <c r="VW282" s="74"/>
      <c r="VX282" s="74"/>
      <c r="VY282" s="74"/>
      <c r="VZ282" s="74"/>
      <c r="WA282" s="74"/>
      <c r="WB282" s="74"/>
      <c r="WC282" s="74"/>
      <c r="WD282" s="74"/>
      <c r="WE282" s="74"/>
      <c r="WF282" s="74"/>
      <c r="WG282" s="74"/>
      <c r="WH282" s="74"/>
      <c r="WI282" s="74"/>
      <c r="WJ282" s="74"/>
      <c r="WK282" s="74"/>
      <c r="WL282" s="74"/>
      <c r="WM282" s="74"/>
      <c r="WN282" s="74"/>
      <c r="WO282" s="74"/>
      <c r="WP282" s="74"/>
      <c r="WQ282" s="74"/>
      <c r="WR282" s="74"/>
      <c r="WS282" s="74"/>
      <c r="WT282" s="74"/>
      <c r="WU282" s="74"/>
      <c r="WV282" s="74"/>
      <c r="WW282" s="74"/>
      <c r="WX282" s="74"/>
      <c r="WY282" s="74"/>
      <c r="WZ282" s="74"/>
      <c r="XA282" s="74"/>
      <c r="XB282" s="74"/>
      <c r="XC282" s="74"/>
      <c r="XD282" s="74"/>
      <c r="XE282" s="74"/>
      <c r="XF282" s="74"/>
      <c r="XG282" s="74"/>
      <c r="XH282" s="74"/>
      <c r="XI282" s="74"/>
      <c r="XJ282" s="74"/>
      <c r="XK282" s="74"/>
      <c r="XL282" s="74"/>
      <c r="XM282" s="74"/>
      <c r="XN282" s="74"/>
      <c r="XO282" s="74"/>
      <c r="XP282" s="74"/>
      <c r="XQ282" s="74"/>
      <c r="XR282" s="74"/>
      <c r="XS282" s="74"/>
      <c r="XT282" s="74"/>
      <c r="XU282" s="74"/>
      <c r="XV282" s="74"/>
      <c r="XW282" s="74"/>
      <c r="XX282" s="74"/>
      <c r="XY282" s="74"/>
      <c r="XZ282" s="74"/>
      <c r="YA282" s="74"/>
      <c r="YB282" s="74"/>
      <c r="YC282" s="74"/>
      <c r="YD282" s="74"/>
      <c r="YE282" s="74"/>
      <c r="YF282" s="74"/>
      <c r="YG282" s="74"/>
      <c r="YH282" s="74"/>
      <c r="YI282" s="74"/>
      <c r="YJ282" s="74"/>
      <c r="YK282" s="74"/>
      <c r="YL282" s="74"/>
      <c r="YM282" s="74"/>
      <c r="YN282" s="74"/>
      <c r="YO282" s="74"/>
      <c r="YP282" s="74"/>
      <c r="YQ282" s="74"/>
      <c r="YR282" s="74"/>
      <c r="YS282" s="74"/>
      <c r="YT282" s="74"/>
      <c r="YU282" s="74"/>
      <c r="YV282" s="74"/>
      <c r="YW282" s="74"/>
      <c r="YX282" s="74"/>
      <c r="YY282" s="74"/>
      <c r="YZ282" s="74"/>
      <c r="ZA282" s="74"/>
      <c r="ZB282" s="74"/>
      <c r="ZC282" s="74"/>
      <c r="ZD282" s="74"/>
      <c r="ZE282" s="74"/>
      <c r="ZF282" s="74"/>
      <c r="ZG282" s="74"/>
      <c r="ZH282" s="74"/>
      <c r="ZI282" s="74"/>
      <c r="ZJ282" s="74"/>
      <c r="ZK282" s="74"/>
      <c r="ZL282" s="74"/>
      <c r="ZM282" s="74"/>
      <c r="ZN282" s="74"/>
      <c r="ZO282" s="74"/>
      <c r="ZP282" s="74"/>
      <c r="ZQ282" s="74"/>
      <c r="ZR282" s="74"/>
      <c r="ZS282" s="74"/>
      <c r="ZT282" s="74"/>
      <c r="ZU282" s="74"/>
      <c r="ZV282" s="74"/>
      <c r="ZW282" s="74"/>
      <c r="ZX282" s="74"/>
      <c r="ZY282" s="74"/>
      <c r="ZZ282" s="74"/>
      <c r="AAA282" s="74"/>
      <c r="AAB282" s="74"/>
      <c r="AAC282" s="74"/>
      <c r="AAD282" s="74"/>
      <c r="AAE282" s="74"/>
      <c r="AAF282" s="74"/>
      <c r="AAG282" s="74"/>
      <c r="AAH282" s="74"/>
      <c r="AAI282" s="74"/>
      <c r="AAJ282" s="74"/>
      <c r="AAK282" s="74"/>
      <c r="AAL282" s="74"/>
      <c r="AAM282" s="74"/>
      <c r="AAN282" s="74"/>
      <c r="AAO282" s="74"/>
      <c r="AAP282" s="74"/>
      <c r="AAQ282" s="74"/>
      <c r="AAR282" s="74"/>
      <c r="AAS282" s="74"/>
      <c r="AAT282" s="74"/>
      <c r="AAU282" s="74"/>
      <c r="AAV282" s="74"/>
      <c r="AAW282" s="74"/>
      <c r="AAX282" s="74"/>
      <c r="AAY282" s="74"/>
      <c r="AAZ282" s="74"/>
      <c r="ABA282" s="74"/>
      <c r="ABB282" s="74"/>
      <c r="ABC282" s="74"/>
      <c r="ABD282" s="74"/>
      <c r="ABE282" s="74"/>
      <c r="ABF282" s="74"/>
      <c r="ABG282" s="74"/>
      <c r="ABH282" s="74"/>
      <c r="ABI282" s="74"/>
      <c r="ABJ282" s="74"/>
      <c r="ABK282" s="74"/>
      <c r="ABL282" s="74"/>
      <c r="ABM282" s="74"/>
      <c r="ABN282" s="74"/>
      <c r="ABO282" s="74"/>
      <c r="ABP282" s="74"/>
      <c r="ABQ282" s="74"/>
      <c r="ABR282" s="74"/>
      <c r="ABS282" s="74"/>
      <c r="ABT282" s="74"/>
      <c r="ABU282" s="74"/>
      <c r="ABV282" s="74"/>
      <c r="ABW282" s="74"/>
      <c r="ABX282" s="74"/>
      <c r="ABY282" s="74"/>
      <c r="ABZ282" s="74"/>
      <c r="ACA282" s="74"/>
      <c r="ACB282" s="74"/>
      <c r="ACC282" s="74"/>
      <c r="ACD282" s="74"/>
      <c r="ACE282" s="74"/>
      <c r="ACF282" s="74"/>
      <c r="ACG282" s="74"/>
      <c r="ACH282" s="74"/>
      <c r="ACI282" s="74"/>
      <c r="ACJ282" s="74"/>
      <c r="ACK282" s="74"/>
      <c r="ACL282" s="74"/>
      <c r="ACM282" s="74"/>
      <c r="ACN282" s="74"/>
      <c r="ACO282" s="74"/>
      <c r="ACP282" s="74"/>
      <c r="ACQ282" s="74"/>
      <c r="ACR282" s="74"/>
      <c r="ACS282" s="74"/>
      <c r="ACT282" s="74"/>
      <c r="ACU282" s="74"/>
      <c r="ACV282" s="74"/>
      <c r="ACW282" s="74"/>
      <c r="ACX282" s="74"/>
      <c r="ACY282" s="74"/>
      <c r="ACZ282" s="74"/>
      <c r="ADA282" s="74"/>
      <c r="ADB282" s="74"/>
      <c r="ADC282" s="74"/>
      <c r="ADD282" s="74"/>
      <c r="ADE282" s="74"/>
      <c r="ADF282" s="74"/>
      <c r="ADG282" s="74"/>
      <c r="ADH282" s="74"/>
      <c r="ADI282" s="74"/>
      <c r="ADJ282" s="74"/>
      <c r="ADK282" s="74"/>
      <c r="ADL282" s="74"/>
      <c r="ADM282" s="74"/>
      <c r="ADN282" s="74"/>
      <c r="ADO282" s="74"/>
      <c r="ADP282" s="74"/>
      <c r="ADQ282" s="74"/>
      <c r="ADR282" s="74"/>
      <c r="ADS282" s="74"/>
      <c r="ADT282" s="74"/>
      <c r="ADU282" s="74"/>
      <c r="ADV282" s="74"/>
      <c r="ADW282" s="74"/>
      <c r="ADX282" s="74"/>
      <c r="ADY282" s="74"/>
      <c r="ADZ282" s="74"/>
      <c r="AEA282" s="74"/>
      <c r="AEB282" s="74"/>
      <c r="AEC282" s="74"/>
      <c r="AED282" s="74"/>
      <c r="AEE282" s="74"/>
      <c r="AEF282" s="74"/>
      <c r="AEG282" s="74"/>
      <c r="AEH282" s="74"/>
      <c r="AEI282" s="74"/>
      <c r="AEJ282" s="74"/>
      <c r="AEK282" s="74"/>
      <c r="AEL282" s="74"/>
      <c r="AEM282" s="74"/>
      <c r="AEN282" s="74"/>
      <c r="AEO282" s="74"/>
      <c r="AEP282" s="74"/>
      <c r="AEQ282" s="74"/>
      <c r="AER282" s="74"/>
      <c r="AES282" s="74"/>
      <c r="AET282" s="74"/>
      <c r="AEU282" s="74"/>
      <c r="AEV282" s="74"/>
      <c r="AEW282" s="74"/>
      <c r="AEX282" s="74"/>
      <c r="AEY282" s="74"/>
      <c r="AEZ282" s="74"/>
      <c r="AFA282" s="74"/>
      <c r="AFB282" s="74"/>
      <c r="AFC282" s="74"/>
      <c r="AFD282" s="74"/>
      <c r="AFE282" s="74"/>
      <c r="AFF282" s="74"/>
      <c r="AFG282" s="74"/>
      <c r="AFH282" s="74"/>
      <c r="AFI282" s="74"/>
      <c r="AFJ282" s="74"/>
      <c r="AFK282" s="74"/>
      <c r="AFL282" s="74"/>
      <c r="AFM282" s="74"/>
      <c r="AFN282" s="74"/>
      <c r="AFO282" s="74"/>
      <c r="AFP282" s="74"/>
      <c r="AFQ282" s="74"/>
      <c r="AFR282" s="74"/>
      <c r="AFS282" s="74"/>
      <c r="AFT282" s="74"/>
      <c r="AFU282" s="74"/>
      <c r="AFV282" s="74"/>
      <c r="AFW282" s="74"/>
      <c r="AFX282" s="74"/>
      <c r="AFY282" s="74"/>
      <c r="AFZ282" s="74"/>
      <c r="AGA282" s="74"/>
      <c r="AGB282" s="74"/>
      <c r="AGC282" s="74"/>
      <c r="AGD282" s="74"/>
      <c r="AGE282" s="74"/>
      <c r="AGF282" s="74"/>
      <c r="AGG282" s="74"/>
      <c r="AGH282" s="74"/>
      <c r="AGI282" s="74"/>
      <c r="AGJ282" s="74"/>
      <c r="AGK282" s="74"/>
      <c r="AGL282" s="74"/>
      <c r="AGM282" s="74"/>
      <c r="AGN282" s="74"/>
      <c r="AGO282" s="74"/>
      <c r="AGP282" s="74"/>
      <c r="AGQ282" s="74"/>
      <c r="AGR282" s="74"/>
      <c r="AGS282" s="74"/>
      <c r="AGT282" s="74"/>
      <c r="AGU282" s="74"/>
      <c r="AGV282" s="74"/>
      <c r="AGW282" s="74"/>
      <c r="AGX282" s="74"/>
      <c r="AGY282" s="74"/>
      <c r="AGZ282" s="74"/>
      <c r="AHA282" s="74"/>
      <c r="AHB282" s="74"/>
      <c r="AHC282" s="74"/>
      <c r="AHD282" s="74"/>
      <c r="AHE282" s="74"/>
      <c r="AHF282" s="74"/>
      <c r="AHG282" s="74"/>
      <c r="AHH282" s="74"/>
      <c r="AHI282" s="74"/>
      <c r="AHJ282" s="74"/>
      <c r="AHK282" s="74"/>
      <c r="AHL282" s="74"/>
      <c r="AHM282" s="74"/>
      <c r="AHN282" s="74"/>
      <c r="AHO282" s="74"/>
      <c r="AHP282" s="74"/>
      <c r="AHQ282" s="74"/>
      <c r="AHR282" s="74"/>
      <c r="AHS282" s="74"/>
      <c r="AHT282" s="74"/>
      <c r="AHU282" s="74"/>
      <c r="AHV282" s="74"/>
      <c r="AHW282" s="74"/>
      <c r="AHX282" s="74"/>
      <c r="AHY282" s="74"/>
      <c r="AHZ282" s="74"/>
      <c r="AIA282" s="74"/>
      <c r="AIB282" s="74"/>
      <c r="AIC282" s="74"/>
      <c r="AID282" s="74"/>
      <c r="AIE282" s="74"/>
      <c r="AIF282" s="74"/>
      <c r="AIG282" s="74"/>
      <c r="AIH282" s="74"/>
      <c r="AII282" s="74"/>
      <c r="AIJ282" s="74"/>
      <c r="AIK282" s="74"/>
      <c r="AIL282" s="74"/>
      <c r="AIM282" s="74"/>
      <c r="AIN282" s="74"/>
      <c r="AIO282" s="74"/>
      <c r="AIP282" s="74"/>
      <c r="AIQ282" s="74"/>
      <c r="AIR282" s="74"/>
      <c r="AIS282" s="74"/>
      <c r="AIT282" s="74"/>
      <c r="AIU282" s="74"/>
      <c r="AIV282" s="74"/>
      <c r="AIW282" s="74"/>
      <c r="AIX282" s="74"/>
      <c r="AIY282" s="74"/>
      <c r="AIZ282" s="74"/>
      <c r="AJA282" s="74"/>
      <c r="AJB282" s="74"/>
      <c r="AJC282" s="74"/>
      <c r="AJD282" s="74"/>
      <c r="AJE282" s="74"/>
      <c r="AJF282" s="74"/>
      <c r="AJG282" s="74"/>
      <c r="AJH282" s="74"/>
      <c r="AJI282" s="74"/>
      <c r="AJJ282" s="74"/>
      <c r="AJK282" s="74"/>
      <c r="AJL282" s="74"/>
      <c r="AJM282" s="74"/>
      <c r="AJN282" s="74"/>
      <c r="AJO282" s="74"/>
      <c r="AJP282" s="74"/>
      <c r="AJQ282" s="74"/>
      <c r="AJR282" s="74"/>
      <c r="AJS282" s="74"/>
      <c r="AJT282" s="74"/>
      <c r="AJU282" s="74"/>
      <c r="AJV282" s="74"/>
      <c r="AJW282" s="74"/>
      <c r="AJX282" s="74"/>
      <c r="AJY282" s="74"/>
      <c r="AJZ282" s="74"/>
      <c r="AKA282" s="74"/>
      <c r="AKB282" s="74"/>
      <c r="AKC282" s="74"/>
      <c r="AKD282" s="74"/>
      <c r="AKE282" s="74"/>
      <c r="AKF282" s="74"/>
      <c r="AKG282" s="74"/>
      <c r="AKH282" s="74"/>
      <c r="AKI282" s="74"/>
      <c r="AKJ282" s="74"/>
      <c r="AKK282" s="74"/>
      <c r="AKL282" s="74"/>
      <c r="AKM282" s="74"/>
      <c r="AKN282" s="74"/>
      <c r="AKO282" s="74"/>
      <c r="AKP282" s="74"/>
      <c r="AKQ282" s="74"/>
      <c r="AKR282" s="74"/>
      <c r="AKS282" s="74"/>
      <c r="AKT282" s="74"/>
      <c r="AKU282" s="74"/>
      <c r="AKV282" s="74"/>
      <c r="AKW282" s="74"/>
      <c r="AKX282" s="74"/>
      <c r="AKY282" s="74"/>
      <c r="AKZ282" s="74"/>
      <c r="ALA282" s="74"/>
      <c r="ALB282" s="74"/>
      <c r="ALC282" s="74"/>
      <c r="ALD282" s="74"/>
      <c r="ALE282" s="74"/>
      <c r="ALF282" s="74"/>
      <c r="ALG282" s="74"/>
      <c r="ALH282" s="74"/>
      <c r="ALI282" s="74"/>
      <c r="ALJ282" s="74"/>
      <c r="ALK282" s="74"/>
      <c r="ALL282" s="74"/>
      <c r="ALM282" s="74"/>
      <c r="ALN282" s="74"/>
      <c r="ALO282" s="74"/>
      <c r="ALP282" s="74"/>
      <c r="ALQ282" s="74"/>
      <c r="ALR282" s="74"/>
      <c r="ALS282" s="74"/>
      <c r="ALT282" s="74"/>
      <c r="ALU282" s="74"/>
      <c r="ALV282" s="74"/>
      <c r="ALW282" s="74"/>
      <c r="ALX282" s="74"/>
      <c r="ALY282" s="74"/>
      <c r="ALZ282" s="74"/>
      <c r="AMA282" s="74"/>
      <c r="AMB282" s="74"/>
      <c r="AMC282" s="74"/>
      <c r="AMD282" s="74"/>
      <c r="AME282" s="74"/>
      <c r="AMF282" s="74"/>
      <c r="AMG282" s="74"/>
      <c r="AMH282" s="74"/>
      <c r="AMI282" s="74"/>
    </row>
    <row r="283" spans="1:1023" s="94" customFormat="1" ht="31.5" x14ac:dyDescent="0.25">
      <c r="A283" s="203"/>
      <c r="B283" s="92" t="s">
        <v>145</v>
      </c>
      <c r="C283" s="93"/>
      <c r="D283" s="93"/>
      <c r="E283" s="114"/>
      <c r="F283" s="113"/>
      <c r="G283" s="128"/>
      <c r="H283" s="166"/>
      <c r="I283" s="113"/>
      <c r="J283" s="55"/>
      <c r="K283" s="144">
        <f>ROUND(H283*E283,2)</f>
        <v>0</v>
      </c>
      <c r="L283" s="200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  <c r="AW283" s="74"/>
      <c r="AX283" s="74"/>
      <c r="AY283" s="74"/>
      <c r="AZ283" s="74"/>
      <c r="BA283" s="74"/>
      <c r="BB283" s="74"/>
      <c r="BC283" s="74"/>
      <c r="BD283" s="74"/>
      <c r="BE283" s="74"/>
      <c r="BF283" s="74"/>
      <c r="BG283" s="74"/>
      <c r="BH283" s="74"/>
      <c r="BI283" s="74"/>
      <c r="BJ283" s="74"/>
      <c r="BK283" s="74"/>
      <c r="BL283" s="74"/>
      <c r="BM283" s="74"/>
      <c r="BN283" s="74"/>
      <c r="BO283" s="74"/>
      <c r="BP283" s="74"/>
      <c r="BQ283" s="74"/>
      <c r="BR283" s="74"/>
      <c r="BS283" s="74"/>
      <c r="BT283" s="74"/>
      <c r="BU283" s="74"/>
      <c r="BV283" s="74"/>
      <c r="BW283" s="74"/>
      <c r="BX283" s="74"/>
      <c r="BY283" s="74"/>
      <c r="BZ283" s="74"/>
      <c r="CA283" s="74"/>
      <c r="CB283" s="74"/>
      <c r="CC283" s="74"/>
      <c r="CD283" s="74"/>
      <c r="CE283" s="74"/>
      <c r="CF283" s="74"/>
      <c r="CG283" s="74"/>
      <c r="CH283" s="74"/>
      <c r="CI283" s="74"/>
      <c r="CJ283" s="74"/>
      <c r="CK283" s="74"/>
      <c r="CL283" s="74"/>
      <c r="CM283" s="74"/>
      <c r="CN283" s="74"/>
      <c r="CO283" s="74"/>
      <c r="CP283" s="74"/>
      <c r="CQ283" s="74"/>
      <c r="CR283" s="74"/>
      <c r="CS283" s="74"/>
      <c r="CT283" s="74"/>
      <c r="CU283" s="74"/>
      <c r="CV283" s="74"/>
      <c r="CW283" s="74"/>
      <c r="CX283" s="74"/>
      <c r="CY283" s="74"/>
      <c r="CZ283" s="74"/>
      <c r="DA283" s="74"/>
      <c r="DB283" s="74"/>
      <c r="DC283" s="74"/>
      <c r="DD283" s="74"/>
      <c r="DE283" s="74"/>
      <c r="DF283" s="74"/>
      <c r="DG283" s="74"/>
      <c r="DH283" s="74"/>
      <c r="DI283" s="74"/>
      <c r="DJ283" s="74"/>
      <c r="DK283" s="74"/>
      <c r="DL283" s="74"/>
      <c r="DM283" s="74"/>
      <c r="DN283" s="74"/>
      <c r="DO283" s="74"/>
      <c r="DP283" s="74"/>
      <c r="DQ283" s="74"/>
      <c r="DR283" s="74"/>
      <c r="DS283" s="74"/>
      <c r="DT283" s="74"/>
      <c r="DU283" s="74"/>
      <c r="DV283" s="74"/>
      <c r="DW283" s="74"/>
      <c r="DX283" s="74"/>
      <c r="DY283" s="74"/>
      <c r="DZ283" s="74"/>
      <c r="EA283" s="74"/>
      <c r="EB283" s="74"/>
      <c r="EC283" s="74"/>
      <c r="ED283" s="74"/>
      <c r="EE283" s="74"/>
      <c r="EF283" s="74"/>
      <c r="EG283" s="74"/>
      <c r="EH283" s="74"/>
      <c r="EI283" s="74"/>
      <c r="EJ283" s="74"/>
      <c r="EK283" s="74"/>
      <c r="EL283" s="74"/>
      <c r="EM283" s="74"/>
      <c r="EN283" s="74"/>
      <c r="EO283" s="74"/>
      <c r="EP283" s="74"/>
      <c r="EQ283" s="74"/>
      <c r="ER283" s="74"/>
      <c r="ES283" s="74"/>
      <c r="ET283" s="74"/>
      <c r="EU283" s="74"/>
      <c r="EV283" s="74"/>
      <c r="EW283" s="74"/>
      <c r="EX283" s="74"/>
      <c r="EY283" s="74"/>
      <c r="EZ283" s="74"/>
      <c r="FA283" s="74"/>
      <c r="FB283" s="74"/>
      <c r="FC283" s="74"/>
      <c r="FD283" s="74"/>
      <c r="FE283" s="74"/>
      <c r="FF283" s="74"/>
      <c r="FG283" s="74"/>
      <c r="FH283" s="74"/>
      <c r="FI283" s="74"/>
      <c r="FJ283" s="74"/>
      <c r="FK283" s="74"/>
      <c r="FL283" s="74"/>
      <c r="FM283" s="74"/>
      <c r="FN283" s="74"/>
      <c r="FO283" s="74"/>
      <c r="FP283" s="74"/>
      <c r="FQ283" s="74"/>
      <c r="FR283" s="74"/>
      <c r="FS283" s="74"/>
      <c r="FT283" s="74"/>
      <c r="FU283" s="74"/>
      <c r="FV283" s="74"/>
      <c r="FW283" s="74"/>
      <c r="FX283" s="74"/>
      <c r="FY283" s="74"/>
      <c r="FZ283" s="74"/>
      <c r="GA283" s="74"/>
      <c r="GB283" s="74"/>
      <c r="GC283" s="74"/>
      <c r="GD283" s="74"/>
      <c r="GE283" s="74"/>
      <c r="GF283" s="74"/>
      <c r="GG283" s="74"/>
      <c r="GH283" s="74"/>
      <c r="GI283" s="74"/>
      <c r="GJ283" s="74"/>
      <c r="GK283" s="74"/>
      <c r="GL283" s="74"/>
      <c r="GM283" s="74"/>
      <c r="GN283" s="74"/>
      <c r="GO283" s="74"/>
      <c r="GP283" s="74"/>
      <c r="GQ283" s="74"/>
      <c r="GR283" s="74"/>
      <c r="GS283" s="74"/>
      <c r="GT283" s="74"/>
      <c r="GU283" s="74"/>
      <c r="GV283" s="74"/>
      <c r="GW283" s="74"/>
      <c r="GX283" s="74"/>
      <c r="GY283" s="74"/>
      <c r="GZ283" s="74"/>
      <c r="HA283" s="74"/>
      <c r="HB283" s="74"/>
      <c r="HC283" s="74"/>
      <c r="HD283" s="74"/>
      <c r="HE283" s="74"/>
      <c r="HF283" s="74"/>
      <c r="HG283" s="74"/>
      <c r="HH283" s="74"/>
      <c r="HI283" s="74"/>
      <c r="HJ283" s="74"/>
      <c r="HK283" s="74"/>
      <c r="HL283" s="74"/>
      <c r="HM283" s="74"/>
      <c r="HN283" s="74"/>
      <c r="HO283" s="74"/>
      <c r="HP283" s="74"/>
      <c r="HQ283" s="74"/>
      <c r="HR283" s="74"/>
      <c r="HS283" s="74"/>
      <c r="HT283" s="74"/>
      <c r="HU283" s="74"/>
      <c r="HV283" s="74"/>
      <c r="HW283" s="74"/>
      <c r="HX283" s="74"/>
      <c r="HY283" s="74"/>
      <c r="HZ283" s="74"/>
      <c r="IA283" s="74"/>
      <c r="IB283" s="74"/>
      <c r="IC283" s="74"/>
      <c r="ID283" s="74"/>
      <c r="IE283" s="74"/>
      <c r="IF283" s="74"/>
      <c r="IG283" s="74"/>
      <c r="IH283" s="74"/>
      <c r="II283" s="74"/>
      <c r="IJ283" s="74"/>
      <c r="IK283" s="74"/>
      <c r="IL283" s="74"/>
      <c r="IM283" s="74"/>
      <c r="IN283" s="74"/>
      <c r="IO283" s="74"/>
      <c r="IP283" s="74"/>
      <c r="IQ283" s="74"/>
      <c r="IR283" s="74"/>
      <c r="IS283" s="74"/>
      <c r="IT283" s="74"/>
      <c r="IU283" s="74"/>
      <c r="IV283" s="74"/>
      <c r="IW283" s="74"/>
      <c r="IX283" s="74"/>
      <c r="IY283" s="74"/>
      <c r="IZ283" s="74"/>
      <c r="JA283" s="74"/>
      <c r="JB283" s="74"/>
      <c r="JC283" s="74"/>
      <c r="JD283" s="74"/>
      <c r="JE283" s="74"/>
      <c r="JF283" s="74"/>
      <c r="JG283" s="74"/>
      <c r="JH283" s="74"/>
      <c r="JI283" s="74"/>
      <c r="JJ283" s="74"/>
      <c r="JK283" s="74"/>
      <c r="JL283" s="74"/>
      <c r="JM283" s="74"/>
      <c r="JN283" s="74"/>
      <c r="JO283" s="74"/>
      <c r="JP283" s="74"/>
      <c r="JQ283" s="74"/>
      <c r="JR283" s="74"/>
      <c r="JS283" s="74"/>
      <c r="JT283" s="74"/>
      <c r="JU283" s="74"/>
      <c r="JV283" s="74"/>
      <c r="JW283" s="74"/>
      <c r="JX283" s="74"/>
      <c r="JY283" s="74"/>
      <c r="JZ283" s="74"/>
      <c r="KA283" s="74"/>
      <c r="KB283" s="74"/>
      <c r="KC283" s="74"/>
      <c r="KD283" s="74"/>
      <c r="KE283" s="74"/>
      <c r="KF283" s="74"/>
      <c r="KG283" s="74"/>
      <c r="KH283" s="74"/>
      <c r="KI283" s="74"/>
      <c r="KJ283" s="74"/>
      <c r="KK283" s="74"/>
      <c r="KL283" s="74"/>
      <c r="KM283" s="74"/>
      <c r="KN283" s="74"/>
      <c r="KO283" s="74"/>
      <c r="KP283" s="74"/>
      <c r="KQ283" s="74"/>
      <c r="KR283" s="74"/>
      <c r="KS283" s="74"/>
      <c r="KT283" s="74"/>
      <c r="KU283" s="74"/>
      <c r="KV283" s="74"/>
      <c r="KW283" s="74"/>
      <c r="KX283" s="74"/>
      <c r="KY283" s="74"/>
      <c r="KZ283" s="74"/>
      <c r="LA283" s="74"/>
      <c r="LB283" s="74"/>
      <c r="LC283" s="74"/>
      <c r="LD283" s="74"/>
      <c r="LE283" s="74"/>
      <c r="LF283" s="74"/>
      <c r="LG283" s="74"/>
      <c r="LH283" s="74"/>
      <c r="LI283" s="74"/>
      <c r="LJ283" s="74"/>
      <c r="LK283" s="74"/>
      <c r="LL283" s="74"/>
      <c r="LM283" s="74"/>
      <c r="LN283" s="74"/>
      <c r="LO283" s="74"/>
      <c r="LP283" s="74"/>
      <c r="LQ283" s="74"/>
      <c r="LR283" s="74"/>
      <c r="LS283" s="74"/>
      <c r="LT283" s="74"/>
      <c r="LU283" s="74"/>
      <c r="LV283" s="74"/>
      <c r="LW283" s="74"/>
      <c r="LX283" s="74"/>
      <c r="LY283" s="74"/>
      <c r="LZ283" s="74"/>
      <c r="MA283" s="74"/>
      <c r="MB283" s="74"/>
      <c r="MC283" s="74"/>
      <c r="MD283" s="74"/>
      <c r="ME283" s="74"/>
      <c r="MF283" s="74"/>
      <c r="MG283" s="74"/>
      <c r="MH283" s="74"/>
      <c r="MI283" s="74"/>
      <c r="MJ283" s="74"/>
      <c r="MK283" s="74"/>
      <c r="ML283" s="74"/>
      <c r="MM283" s="74"/>
      <c r="MN283" s="74"/>
      <c r="MO283" s="74"/>
      <c r="MP283" s="74"/>
      <c r="MQ283" s="74"/>
      <c r="MR283" s="74"/>
      <c r="MS283" s="74"/>
      <c r="MT283" s="74"/>
      <c r="MU283" s="74"/>
      <c r="MV283" s="74"/>
      <c r="MW283" s="74"/>
      <c r="MX283" s="74"/>
      <c r="MY283" s="74"/>
      <c r="MZ283" s="74"/>
      <c r="NA283" s="74"/>
      <c r="NB283" s="74"/>
      <c r="NC283" s="74"/>
      <c r="ND283" s="74"/>
      <c r="NE283" s="74"/>
      <c r="NF283" s="74"/>
      <c r="NG283" s="74"/>
      <c r="NH283" s="74"/>
      <c r="NI283" s="74"/>
      <c r="NJ283" s="74"/>
      <c r="NK283" s="74"/>
      <c r="NL283" s="74"/>
      <c r="NM283" s="74"/>
      <c r="NN283" s="74"/>
      <c r="NO283" s="74"/>
      <c r="NP283" s="74"/>
      <c r="NQ283" s="74"/>
      <c r="NR283" s="74"/>
      <c r="NS283" s="74"/>
      <c r="NT283" s="74"/>
      <c r="NU283" s="74"/>
      <c r="NV283" s="74"/>
      <c r="NW283" s="74"/>
      <c r="NX283" s="74"/>
      <c r="NY283" s="74"/>
      <c r="NZ283" s="74"/>
      <c r="OA283" s="74"/>
      <c r="OB283" s="74"/>
      <c r="OC283" s="74"/>
      <c r="OD283" s="74"/>
      <c r="OE283" s="74"/>
      <c r="OF283" s="74"/>
      <c r="OG283" s="74"/>
      <c r="OH283" s="74"/>
      <c r="OI283" s="74"/>
      <c r="OJ283" s="74"/>
      <c r="OK283" s="74"/>
      <c r="OL283" s="74"/>
      <c r="OM283" s="74"/>
      <c r="ON283" s="74"/>
      <c r="OO283" s="74"/>
      <c r="OP283" s="74"/>
      <c r="OQ283" s="74"/>
      <c r="OR283" s="74"/>
      <c r="OS283" s="74"/>
      <c r="OT283" s="74"/>
      <c r="OU283" s="74"/>
      <c r="OV283" s="74"/>
      <c r="OW283" s="74"/>
      <c r="OX283" s="74"/>
      <c r="OY283" s="74"/>
      <c r="OZ283" s="74"/>
      <c r="PA283" s="74"/>
      <c r="PB283" s="74"/>
      <c r="PC283" s="74"/>
      <c r="PD283" s="74"/>
      <c r="PE283" s="74"/>
      <c r="PF283" s="74"/>
      <c r="PG283" s="74"/>
      <c r="PH283" s="74"/>
      <c r="PI283" s="74"/>
      <c r="PJ283" s="74"/>
      <c r="PK283" s="74"/>
      <c r="PL283" s="74"/>
      <c r="PM283" s="74"/>
      <c r="PN283" s="74"/>
      <c r="PO283" s="74"/>
      <c r="PP283" s="74"/>
      <c r="PQ283" s="74"/>
      <c r="PR283" s="74"/>
      <c r="PS283" s="74"/>
      <c r="PT283" s="74"/>
      <c r="PU283" s="74"/>
      <c r="PV283" s="74"/>
      <c r="PW283" s="74"/>
      <c r="PX283" s="74"/>
      <c r="PY283" s="74"/>
      <c r="PZ283" s="74"/>
      <c r="QA283" s="74"/>
      <c r="QB283" s="74"/>
      <c r="QC283" s="74"/>
      <c r="QD283" s="74"/>
      <c r="QE283" s="74"/>
      <c r="QF283" s="74"/>
      <c r="QG283" s="74"/>
      <c r="QH283" s="74"/>
      <c r="QI283" s="74"/>
      <c r="QJ283" s="74"/>
      <c r="QK283" s="74"/>
      <c r="QL283" s="74"/>
      <c r="QM283" s="74"/>
      <c r="QN283" s="74"/>
      <c r="QO283" s="74"/>
      <c r="QP283" s="74"/>
      <c r="QQ283" s="74"/>
      <c r="QR283" s="74"/>
      <c r="QS283" s="74"/>
      <c r="QT283" s="74"/>
      <c r="QU283" s="74"/>
      <c r="QV283" s="74"/>
      <c r="QW283" s="74"/>
      <c r="QX283" s="74"/>
      <c r="QY283" s="74"/>
      <c r="QZ283" s="74"/>
      <c r="RA283" s="74"/>
      <c r="RB283" s="74"/>
      <c r="RC283" s="74"/>
      <c r="RD283" s="74"/>
      <c r="RE283" s="74"/>
      <c r="RF283" s="74"/>
      <c r="RG283" s="74"/>
      <c r="RH283" s="74"/>
      <c r="RI283" s="74"/>
      <c r="RJ283" s="74"/>
      <c r="RK283" s="74"/>
      <c r="RL283" s="74"/>
      <c r="RM283" s="74"/>
      <c r="RN283" s="74"/>
      <c r="RO283" s="74"/>
      <c r="RP283" s="74"/>
      <c r="RQ283" s="74"/>
      <c r="RR283" s="74"/>
      <c r="RS283" s="74"/>
      <c r="RT283" s="74"/>
      <c r="RU283" s="74"/>
      <c r="RV283" s="74"/>
      <c r="RW283" s="74"/>
      <c r="RX283" s="74"/>
      <c r="RY283" s="74"/>
      <c r="RZ283" s="74"/>
      <c r="SA283" s="74"/>
      <c r="SB283" s="74"/>
      <c r="SC283" s="74"/>
      <c r="SD283" s="74"/>
      <c r="SE283" s="74"/>
      <c r="SF283" s="74"/>
      <c r="SG283" s="74"/>
      <c r="SH283" s="74"/>
      <c r="SI283" s="74"/>
      <c r="SJ283" s="74"/>
      <c r="SK283" s="74"/>
      <c r="SL283" s="74"/>
      <c r="SM283" s="74"/>
      <c r="SN283" s="74"/>
      <c r="SO283" s="74"/>
      <c r="SP283" s="74"/>
      <c r="SQ283" s="74"/>
      <c r="SR283" s="74"/>
      <c r="SS283" s="74"/>
      <c r="ST283" s="74"/>
      <c r="SU283" s="74"/>
      <c r="SV283" s="74"/>
      <c r="SW283" s="74"/>
      <c r="SX283" s="74"/>
      <c r="SY283" s="74"/>
      <c r="SZ283" s="74"/>
      <c r="TA283" s="74"/>
      <c r="TB283" s="74"/>
      <c r="TC283" s="74"/>
      <c r="TD283" s="74"/>
      <c r="TE283" s="74"/>
      <c r="TF283" s="74"/>
      <c r="TG283" s="74"/>
      <c r="TH283" s="74"/>
      <c r="TI283" s="74"/>
      <c r="TJ283" s="74"/>
      <c r="TK283" s="74"/>
      <c r="TL283" s="74"/>
      <c r="TM283" s="74"/>
      <c r="TN283" s="74"/>
      <c r="TO283" s="74"/>
      <c r="TP283" s="74"/>
      <c r="TQ283" s="74"/>
      <c r="TR283" s="74"/>
      <c r="TS283" s="74"/>
      <c r="TT283" s="74"/>
      <c r="TU283" s="74"/>
      <c r="TV283" s="74"/>
      <c r="TW283" s="74"/>
      <c r="TX283" s="74"/>
      <c r="TY283" s="74"/>
      <c r="TZ283" s="74"/>
      <c r="UA283" s="74"/>
      <c r="UB283" s="74"/>
      <c r="UC283" s="74"/>
      <c r="UD283" s="74"/>
      <c r="UE283" s="74"/>
      <c r="UF283" s="74"/>
      <c r="UG283" s="74"/>
      <c r="UH283" s="74"/>
      <c r="UI283" s="74"/>
      <c r="UJ283" s="74"/>
      <c r="UK283" s="74"/>
      <c r="UL283" s="74"/>
      <c r="UM283" s="74"/>
      <c r="UN283" s="74"/>
      <c r="UO283" s="74"/>
      <c r="UP283" s="74"/>
      <c r="UQ283" s="74"/>
      <c r="UR283" s="74"/>
      <c r="US283" s="74"/>
      <c r="UT283" s="74"/>
      <c r="UU283" s="74"/>
      <c r="UV283" s="74"/>
      <c r="UW283" s="74"/>
      <c r="UX283" s="74"/>
      <c r="UY283" s="74"/>
      <c r="UZ283" s="74"/>
      <c r="VA283" s="74"/>
      <c r="VB283" s="74"/>
      <c r="VC283" s="74"/>
      <c r="VD283" s="74"/>
      <c r="VE283" s="74"/>
      <c r="VF283" s="74"/>
      <c r="VG283" s="74"/>
      <c r="VH283" s="74"/>
      <c r="VI283" s="74"/>
      <c r="VJ283" s="74"/>
      <c r="VK283" s="74"/>
      <c r="VL283" s="74"/>
      <c r="VM283" s="74"/>
      <c r="VN283" s="74"/>
      <c r="VO283" s="74"/>
      <c r="VP283" s="74"/>
      <c r="VQ283" s="74"/>
      <c r="VR283" s="74"/>
      <c r="VS283" s="74"/>
      <c r="VT283" s="74"/>
      <c r="VU283" s="74"/>
      <c r="VV283" s="74"/>
      <c r="VW283" s="74"/>
      <c r="VX283" s="74"/>
      <c r="VY283" s="74"/>
      <c r="VZ283" s="74"/>
      <c r="WA283" s="74"/>
      <c r="WB283" s="74"/>
      <c r="WC283" s="74"/>
      <c r="WD283" s="74"/>
      <c r="WE283" s="74"/>
      <c r="WF283" s="74"/>
      <c r="WG283" s="74"/>
      <c r="WH283" s="74"/>
      <c r="WI283" s="74"/>
      <c r="WJ283" s="74"/>
      <c r="WK283" s="74"/>
      <c r="WL283" s="74"/>
      <c r="WM283" s="74"/>
      <c r="WN283" s="74"/>
      <c r="WO283" s="74"/>
      <c r="WP283" s="74"/>
      <c r="WQ283" s="74"/>
      <c r="WR283" s="74"/>
      <c r="WS283" s="74"/>
      <c r="WT283" s="74"/>
      <c r="WU283" s="74"/>
      <c r="WV283" s="74"/>
      <c r="WW283" s="74"/>
      <c r="WX283" s="74"/>
      <c r="WY283" s="74"/>
      <c r="WZ283" s="74"/>
      <c r="XA283" s="74"/>
      <c r="XB283" s="74"/>
      <c r="XC283" s="74"/>
      <c r="XD283" s="74"/>
      <c r="XE283" s="74"/>
      <c r="XF283" s="74"/>
      <c r="XG283" s="74"/>
      <c r="XH283" s="74"/>
      <c r="XI283" s="74"/>
      <c r="XJ283" s="74"/>
      <c r="XK283" s="74"/>
      <c r="XL283" s="74"/>
      <c r="XM283" s="74"/>
      <c r="XN283" s="74"/>
      <c r="XO283" s="74"/>
      <c r="XP283" s="74"/>
      <c r="XQ283" s="74"/>
      <c r="XR283" s="74"/>
      <c r="XS283" s="74"/>
      <c r="XT283" s="74"/>
      <c r="XU283" s="74"/>
      <c r="XV283" s="74"/>
      <c r="XW283" s="74"/>
      <c r="XX283" s="74"/>
      <c r="XY283" s="74"/>
      <c r="XZ283" s="74"/>
      <c r="YA283" s="74"/>
      <c r="YB283" s="74"/>
      <c r="YC283" s="74"/>
      <c r="YD283" s="74"/>
      <c r="YE283" s="74"/>
      <c r="YF283" s="74"/>
      <c r="YG283" s="74"/>
      <c r="YH283" s="74"/>
      <c r="YI283" s="74"/>
      <c r="YJ283" s="74"/>
      <c r="YK283" s="74"/>
      <c r="YL283" s="74"/>
      <c r="YM283" s="74"/>
      <c r="YN283" s="74"/>
      <c r="YO283" s="74"/>
      <c r="YP283" s="74"/>
      <c r="YQ283" s="74"/>
      <c r="YR283" s="74"/>
      <c r="YS283" s="74"/>
      <c r="YT283" s="74"/>
      <c r="YU283" s="74"/>
      <c r="YV283" s="74"/>
      <c r="YW283" s="74"/>
      <c r="YX283" s="74"/>
      <c r="YY283" s="74"/>
      <c r="YZ283" s="74"/>
      <c r="ZA283" s="74"/>
      <c r="ZB283" s="74"/>
      <c r="ZC283" s="74"/>
      <c r="ZD283" s="74"/>
      <c r="ZE283" s="74"/>
      <c r="ZF283" s="74"/>
      <c r="ZG283" s="74"/>
      <c r="ZH283" s="74"/>
      <c r="ZI283" s="74"/>
      <c r="ZJ283" s="74"/>
      <c r="ZK283" s="74"/>
      <c r="ZL283" s="74"/>
      <c r="ZM283" s="74"/>
      <c r="ZN283" s="74"/>
      <c r="ZO283" s="74"/>
      <c r="ZP283" s="74"/>
      <c r="ZQ283" s="74"/>
      <c r="ZR283" s="74"/>
      <c r="ZS283" s="74"/>
      <c r="ZT283" s="74"/>
      <c r="ZU283" s="74"/>
      <c r="ZV283" s="74"/>
      <c r="ZW283" s="74"/>
      <c r="ZX283" s="74"/>
      <c r="ZY283" s="74"/>
      <c r="ZZ283" s="74"/>
      <c r="AAA283" s="74"/>
      <c r="AAB283" s="74"/>
      <c r="AAC283" s="74"/>
      <c r="AAD283" s="74"/>
      <c r="AAE283" s="74"/>
      <c r="AAF283" s="74"/>
      <c r="AAG283" s="74"/>
      <c r="AAH283" s="74"/>
      <c r="AAI283" s="74"/>
      <c r="AAJ283" s="74"/>
      <c r="AAK283" s="74"/>
      <c r="AAL283" s="74"/>
      <c r="AAM283" s="74"/>
      <c r="AAN283" s="74"/>
      <c r="AAO283" s="74"/>
      <c r="AAP283" s="74"/>
      <c r="AAQ283" s="74"/>
      <c r="AAR283" s="74"/>
      <c r="AAS283" s="74"/>
      <c r="AAT283" s="74"/>
      <c r="AAU283" s="74"/>
      <c r="AAV283" s="74"/>
      <c r="AAW283" s="74"/>
      <c r="AAX283" s="74"/>
      <c r="AAY283" s="74"/>
      <c r="AAZ283" s="74"/>
      <c r="ABA283" s="74"/>
      <c r="ABB283" s="74"/>
      <c r="ABC283" s="74"/>
      <c r="ABD283" s="74"/>
      <c r="ABE283" s="74"/>
      <c r="ABF283" s="74"/>
      <c r="ABG283" s="74"/>
      <c r="ABH283" s="74"/>
      <c r="ABI283" s="74"/>
      <c r="ABJ283" s="74"/>
      <c r="ABK283" s="74"/>
      <c r="ABL283" s="74"/>
      <c r="ABM283" s="74"/>
      <c r="ABN283" s="74"/>
      <c r="ABO283" s="74"/>
      <c r="ABP283" s="74"/>
      <c r="ABQ283" s="74"/>
      <c r="ABR283" s="74"/>
      <c r="ABS283" s="74"/>
      <c r="ABT283" s="74"/>
      <c r="ABU283" s="74"/>
      <c r="ABV283" s="74"/>
      <c r="ABW283" s="74"/>
      <c r="ABX283" s="74"/>
      <c r="ABY283" s="74"/>
      <c r="ABZ283" s="74"/>
      <c r="ACA283" s="74"/>
      <c r="ACB283" s="74"/>
      <c r="ACC283" s="74"/>
      <c r="ACD283" s="74"/>
      <c r="ACE283" s="74"/>
      <c r="ACF283" s="74"/>
      <c r="ACG283" s="74"/>
      <c r="ACH283" s="74"/>
      <c r="ACI283" s="74"/>
      <c r="ACJ283" s="74"/>
      <c r="ACK283" s="74"/>
      <c r="ACL283" s="74"/>
      <c r="ACM283" s="74"/>
      <c r="ACN283" s="74"/>
      <c r="ACO283" s="74"/>
      <c r="ACP283" s="74"/>
      <c r="ACQ283" s="74"/>
      <c r="ACR283" s="74"/>
      <c r="ACS283" s="74"/>
      <c r="ACT283" s="74"/>
      <c r="ACU283" s="74"/>
      <c r="ACV283" s="74"/>
      <c r="ACW283" s="74"/>
      <c r="ACX283" s="74"/>
      <c r="ACY283" s="74"/>
      <c r="ACZ283" s="74"/>
      <c r="ADA283" s="74"/>
      <c r="ADB283" s="74"/>
      <c r="ADC283" s="74"/>
      <c r="ADD283" s="74"/>
      <c r="ADE283" s="74"/>
      <c r="ADF283" s="74"/>
      <c r="ADG283" s="74"/>
      <c r="ADH283" s="74"/>
      <c r="ADI283" s="74"/>
      <c r="ADJ283" s="74"/>
      <c r="ADK283" s="74"/>
      <c r="ADL283" s="74"/>
      <c r="ADM283" s="74"/>
      <c r="ADN283" s="74"/>
      <c r="ADO283" s="74"/>
      <c r="ADP283" s="74"/>
      <c r="ADQ283" s="74"/>
      <c r="ADR283" s="74"/>
      <c r="ADS283" s="74"/>
      <c r="ADT283" s="74"/>
      <c r="ADU283" s="74"/>
      <c r="ADV283" s="74"/>
      <c r="ADW283" s="74"/>
      <c r="ADX283" s="74"/>
      <c r="ADY283" s="74"/>
      <c r="ADZ283" s="74"/>
      <c r="AEA283" s="74"/>
      <c r="AEB283" s="74"/>
      <c r="AEC283" s="74"/>
      <c r="AED283" s="74"/>
      <c r="AEE283" s="74"/>
      <c r="AEF283" s="74"/>
      <c r="AEG283" s="74"/>
      <c r="AEH283" s="74"/>
      <c r="AEI283" s="74"/>
      <c r="AEJ283" s="74"/>
      <c r="AEK283" s="74"/>
      <c r="AEL283" s="74"/>
      <c r="AEM283" s="74"/>
      <c r="AEN283" s="74"/>
      <c r="AEO283" s="74"/>
      <c r="AEP283" s="74"/>
      <c r="AEQ283" s="74"/>
      <c r="AER283" s="74"/>
      <c r="AES283" s="74"/>
      <c r="AET283" s="74"/>
      <c r="AEU283" s="74"/>
      <c r="AEV283" s="74"/>
      <c r="AEW283" s="74"/>
      <c r="AEX283" s="74"/>
      <c r="AEY283" s="74"/>
      <c r="AEZ283" s="74"/>
      <c r="AFA283" s="74"/>
      <c r="AFB283" s="74"/>
      <c r="AFC283" s="74"/>
      <c r="AFD283" s="74"/>
      <c r="AFE283" s="74"/>
      <c r="AFF283" s="74"/>
      <c r="AFG283" s="74"/>
      <c r="AFH283" s="74"/>
      <c r="AFI283" s="74"/>
      <c r="AFJ283" s="74"/>
      <c r="AFK283" s="74"/>
      <c r="AFL283" s="74"/>
      <c r="AFM283" s="74"/>
      <c r="AFN283" s="74"/>
      <c r="AFO283" s="74"/>
      <c r="AFP283" s="74"/>
      <c r="AFQ283" s="74"/>
      <c r="AFR283" s="74"/>
      <c r="AFS283" s="74"/>
      <c r="AFT283" s="74"/>
      <c r="AFU283" s="74"/>
      <c r="AFV283" s="74"/>
      <c r="AFW283" s="74"/>
      <c r="AFX283" s="74"/>
      <c r="AFY283" s="74"/>
      <c r="AFZ283" s="74"/>
      <c r="AGA283" s="74"/>
      <c r="AGB283" s="74"/>
      <c r="AGC283" s="74"/>
      <c r="AGD283" s="74"/>
      <c r="AGE283" s="74"/>
      <c r="AGF283" s="74"/>
      <c r="AGG283" s="74"/>
      <c r="AGH283" s="74"/>
      <c r="AGI283" s="74"/>
      <c r="AGJ283" s="74"/>
      <c r="AGK283" s="74"/>
      <c r="AGL283" s="74"/>
      <c r="AGM283" s="74"/>
      <c r="AGN283" s="74"/>
      <c r="AGO283" s="74"/>
      <c r="AGP283" s="74"/>
      <c r="AGQ283" s="74"/>
      <c r="AGR283" s="74"/>
      <c r="AGS283" s="74"/>
      <c r="AGT283" s="74"/>
      <c r="AGU283" s="74"/>
      <c r="AGV283" s="74"/>
      <c r="AGW283" s="74"/>
      <c r="AGX283" s="74"/>
      <c r="AGY283" s="74"/>
      <c r="AGZ283" s="74"/>
      <c r="AHA283" s="74"/>
      <c r="AHB283" s="74"/>
      <c r="AHC283" s="74"/>
      <c r="AHD283" s="74"/>
      <c r="AHE283" s="74"/>
      <c r="AHF283" s="74"/>
      <c r="AHG283" s="74"/>
      <c r="AHH283" s="74"/>
      <c r="AHI283" s="74"/>
      <c r="AHJ283" s="74"/>
      <c r="AHK283" s="74"/>
      <c r="AHL283" s="74"/>
      <c r="AHM283" s="74"/>
      <c r="AHN283" s="74"/>
      <c r="AHO283" s="74"/>
      <c r="AHP283" s="74"/>
      <c r="AHQ283" s="74"/>
      <c r="AHR283" s="74"/>
      <c r="AHS283" s="74"/>
      <c r="AHT283" s="74"/>
      <c r="AHU283" s="74"/>
      <c r="AHV283" s="74"/>
      <c r="AHW283" s="74"/>
      <c r="AHX283" s="74"/>
      <c r="AHY283" s="74"/>
      <c r="AHZ283" s="74"/>
      <c r="AIA283" s="74"/>
      <c r="AIB283" s="74"/>
      <c r="AIC283" s="74"/>
      <c r="AID283" s="74"/>
      <c r="AIE283" s="74"/>
      <c r="AIF283" s="74"/>
      <c r="AIG283" s="74"/>
      <c r="AIH283" s="74"/>
      <c r="AII283" s="74"/>
      <c r="AIJ283" s="74"/>
      <c r="AIK283" s="74"/>
      <c r="AIL283" s="74"/>
      <c r="AIM283" s="74"/>
      <c r="AIN283" s="74"/>
      <c r="AIO283" s="74"/>
      <c r="AIP283" s="74"/>
      <c r="AIQ283" s="74"/>
      <c r="AIR283" s="74"/>
      <c r="AIS283" s="74"/>
      <c r="AIT283" s="74"/>
      <c r="AIU283" s="74"/>
      <c r="AIV283" s="74"/>
      <c r="AIW283" s="74"/>
      <c r="AIX283" s="74"/>
      <c r="AIY283" s="74"/>
      <c r="AIZ283" s="74"/>
      <c r="AJA283" s="74"/>
      <c r="AJB283" s="74"/>
      <c r="AJC283" s="74"/>
      <c r="AJD283" s="74"/>
      <c r="AJE283" s="74"/>
      <c r="AJF283" s="74"/>
      <c r="AJG283" s="74"/>
      <c r="AJH283" s="74"/>
      <c r="AJI283" s="74"/>
      <c r="AJJ283" s="74"/>
      <c r="AJK283" s="74"/>
      <c r="AJL283" s="74"/>
      <c r="AJM283" s="74"/>
      <c r="AJN283" s="74"/>
      <c r="AJO283" s="74"/>
      <c r="AJP283" s="74"/>
      <c r="AJQ283" s="74"/>
      <c r="AJR283" s="74"/>
      <c r="AJS283" s="74"/>
      <c r="AJT283" s="74"/>
      <c r="AJU283" s="74"/>
      <c r="AJV283" s="74"/>
      <c r="AJW283" s="74"/>
      <c r="AJX283" s="74"/>
      <c r="AJY283" s="74"/>
      <c r="AJZ283" s="74"/>
      <c r="AKA283" s="74"/>
      <c r="AKB283" s="74"/>
      <c r="AKC283" s="74"/>
      <c r="AKD283" s="74"/>
      <c r="AKE283" s="74"/>
      <c r="AKF283" s="74"/>
      <c r="AKG283" s="74"/>
      <c r="AKH283" s="74"/>
      <c r="AKI283" s="74"/>
      <c r="AKJ283" s="74"/>
      <c r="AKK283" s="74"/>
      <c r="AKL283" s="74"/>
      <c r="AKM283" s="74"/>
      <c r="AKN283" s="74"/>
      <c r="AKO283" s="74"/>
      <c r="AKP283" s="74"/>
      <c r="AKQ283" s="74"/>
      <c r="AKR283" s="74"/>
      <c r="AKS283" s="74"/>
      <c r="AKT283" s="74"/>
      <c r="AKU283" s="74"/>
      <c r="AKV283" s="74"/>
      <c r="AKW283" s="74"/>
      <c r="AKX283" s="74"/>
      <c r="AKY283" s="74"/>
      <c r="AKZ283" s="74"/>
      <c r="ALA283" s="74"/>
      <c r="ALB283" s="74"/>
      <c r="ALC283" s="74"/>
      <c r="ALD283" s="74"/>
      <c r="ALE283" s="74"/>
      <c r="ALF283" s="74"/>
      <c r="ALG283" s="74"/>
      <c r="ALH283" s="74"/>
      <c r="ALI283" s="74"/>
      <c r="ALJ283" s="74"/>
      <c r="ALK283" s="74"/>
      <c r="ALL283" s="74"/>
      <c r="ALM283" s="74"/>
      <c r="ALN283" s="74"/>
      <c r="ALO283" s="74"/>
      <c r="ALP283" s="74"/>
      <c r="ALQ283" s="74"/>
      <c r="ALR283" s="74"/>
      <c r="ALS283" s="74"/>
      <c r="ALT283" s="74"/>
      <c r="ALU283" s="74"/>
      <c r="ALV283" s="74"/>
      <c r="ALW283" s="74"/>
      <c r="ALX283" s="74"/>
      <c r="ALY283" s="74"/>
      <c r="ALZ283" s="74"/>
      <c r="AMA283" s="74"/>
      <c r="AMB283" s="74"/>
      <c r="AMC283" s="74"/>
      <c r="AMD283" s="74"/>
      <c r="AME283" s="74"/>
      <c r="AMF283" s="74"/>
      <c r="AMG283" s="74"/>
      <c r="AMH283" s="74"/>
      <c r="AMI283" s="74"/>
    </row>
    <row r="284" spans="1:1023" s="90" customFormat="1" x14ac:dyDescent="0.25">
      <c r="A284" s="226" t="s">
        <v>281</v>
      </c>
      <c r="B284" s="227"/>
      <c r="C284" s="227"/>
      <c r="D284" s="227"/>
      <c r="E284" s="227"/>
      <c r="F284" s="228">
        <f>I280+I282+I283</f>
        <v>0</v>
      </c>
      <c r="G284" s="228"/>
      <c r="H284" s="228"/>
      <c r="I284" s="228"/>
      <c r="J284" s="116"/>
      <c r="K284" s="117"/>
      <c r="L284" s="118"/>
      <c r="M284" s="89"/>
      <c r="Q284" s="91"/>
    </row>
    <row r="285" spans="1:1023" s="90" customFormat="1" x14ac:dyDescent="0.25">
      <c r="A285" s="234" t="s">
        <v>285</v>
      </c>
      <c r="B285" s="235"/>
      <c r="C285" s="235"/>
      <c r="D285" s="235"/>
      <c r="E285" s="235"/>
      <c r="F285" s="238">
        <f>F284*0.22</f>
        <v>0</v>
      </c>
      <c r="G285" s="238"/>
      <c r="H285" s="238"/>
      <c r="I285" s="238"/>
      <c r="J285" s="129"/>
      <c r="K285" s="129"/>
      <c r="L285" s="130"/>
      <c r="M285" s="89"/>
      <c r="Q285" s="91"/>
    </row>
    <row r="286" spans="1:1023" s="90" customFormat="1" ht="20.25" thickBot="1" x14ac:dyDescent="0.3">
      <c r="A286" s="236" t="s">
        <v>282</v>
      </c>
      <c r="B286" s="237"/>
      <c r="C286" s="237"/>
      <c r="D286" s="237"/>
      <c r="E286" s="237"/>
      <c r="F286" s="239">
        <f>F284+F285</f>
        <v>0</v>
      </c>
      <c r="G286" s="239"/>
      <c r="H286" s="239"/>
      <c r="I286" s="239"/>
      <c r="J286" s="131"/>
      <c r="K286" s="132"/>
      <c r="L286" s="133"/>
      <c r="M286" s="89"/>
      <c r="Q286" s="91"/>
    </row>
    <row r="287" spans="1:1023" customFormat="1" ht="15" x14ac:dyDescent="0.25">
      <c r="A287" s="134"/>
      <c r="B287" s="134"/>
      <c r="C287" s="135"/>
      <c r="D287" s="134"/>
      <c r="E287" s="134"/>
      <c r="F287" s="171"/>
      <c r="G287" s="138"/>
      <c r="H287" s="172"/>
      <c r="I287" s="171"/>
      <c r="J287" s="138"/>
      <c r="K287" s="172"/>
      <c r="L287" s="134"/>
    </row>
    <row r="288" spans="1:1023" customFormat="1" x14ac:dyDescent="0.25">
      <c r="A288" s="136" t="s">
        <v>266</v>
      </c>
      <c r="B288" s="137"/>
      <c r="C288" s="138"/>
      <c r="D288" s="137"/>
      <c r="E288" s="137"/>
      <c r="F288" s="171"/>
      <c r="G288" s="138"/>
      <c r="H288" s="172"/>
      <c r="I288" s="171"/>
      <c r="J288" s="138"/>
      <c r="K288" s="172"/>
      <c r="L288" s="137"/>
    </row>
    <row r="289" spans="1:1022" s="40" customFormat="1" ht="34.5" customHeight="1" x14ac:dyDescent="0.25">
      <c r="A289" s="246" t="s">
        <v>267</v>
      </c>
      <c r="B289" s="246"/>
      <c r="C289" s="246"/>
      <c r="D289" s="246"/>
      <c r="E289" s="246"/>
      <c r="F289" s="246"/>
      <c r="G289" s="246"/>
      <c r="H289" s="246"/>
      <c r="I289" s="246"/>
      <c r="J289" s="246"/>
      <c r="K289" s="246"/>
      <c r="L289" s="246"/>
    </row>
    <row r="290" spans="1:1022" customFormat="1" thickBot="1" x14ac:dyDescent="0.3">
      <c r="A290" s="134"/>
      <c r="B290" s="134"/>
      <c r="C290" s="135"/>
      <c r="D290" s="134"/>
      <c r="E290" s="134"/>
      <c r="F290" s="171"/>
      <c r="G290" s="138"/>
      <c r="H290" s="172"/>
      <c r="I290" s="171"/>
      <c r="J290" s="138"/>
      <c r="K290" s="172"/>
      <c r="L290" s="134"/>
    </row>
    <row r="291" spans="1:1022" s="119" customFormat="1" x14ac:dyDescent="0.25">
      <c r="A291" s="136"/>
      <c r="B291" s="249" t="s">
        <v>284</v>
      </c>
      <c r="C291" s="247"/>
      <c r="D291" s="247"/>
      <c r="E291" s="247"/>
      <c r="F291" s="247"/>
      <c r="G291" s="173"/>
      <c r="H291" s="247" t="s">
        <v>283</v>
      </c>
      <c r="I291" s="247"/>
      <c r="J291" s="247"/>
      <c r="K291" s="247"/>
      <c r="L291" s="248"/>
    </row>
    <row r="292" spans="1:1022" s="119" customFormat="1" ht="15.75" customHeight="1" x14ac:dyDescent="0.25">
      <c r="A292" s="122"/>
      <c r="B292" s="230" t="s">
        <v>286</v>
      </c>
      <c r="C292" s="231"/>
      <c r="D292" s="231"/>
      <c r="E292" s="231"/>
      <c r="F292" s="231"/>
      <c r="G292" s="174"/>
      <c r="H292" s="232" t="s">
        <v>146</v>
      </c>
      <c r="I292" s="232"/>
      <c r="J292" s="232"/>
      <c r="K292" s="232"/>
      <c r="L292" s="233"/>
      <c r="M292" s="120"/>
      <c r="N292" s="120"/>
      <c r="O292" s="120"/>
      <c r="P292" s="120"/>
      <c r="Q292" s="120"/>
      <c r="R292" s="120"/>
      <c r="S292" s="120"/>
      <c r="T292" s="120"/>
      <c r="U292" s="120"/>
      <c r="V292" s="120"/>
      <c r="W292" s="120"/>
      <c r="X292" s="120"/>
      <c r="Y292" s="120"/>
      <c r="Z292" s="120"/>
      <c r="AA292" s="120"/>
      <c r="AB292" s="120"/>
      <c r="AC292" s="120"/>
      <c r="AD292" s="120"/>
      <c r="AE292" s="120"/>
      <c r="AF292" s="120"/>
      <c r="AG292" s="120"/>
      <c r="AH292" s="120"/>
      <c r="AI292" s="120"/>
      <c r="AJ292" s="120"/>
      <c r="AK292" s="120"/>
      <c r="AL292" s="120"/>
      <c r="AM292" s="120"/>
      <c r="AN292" s="120"/>
      <c r="AO292" s="120"/>
      <c r="AP292" s="120"/>
      <c r="AQ292" s="120"/>
      <c r="AR292" s="120"/>
      <c r="AS292" s="120"/>
      <c r="AT292" s="120"/>
      <c r="AU292" s="120"/>
      <c r="AV292" s="120"/>
      <c r="AW292" s="120"/>
      <c r="AX292" s="120"/>
      <c r="AY292" s="120"/>
      <c r="AZ292" s="120"/>
      <c r="BA292" s="120"/>
      <c r="BB292" s="120"/>
      <c r="BC292" s="120"/>
      <c r="BD292" s="120"/>
      <c r="BE292" s="120"/>
      <c r="BF292" s="120"/>
      <c r="BG292" s="120"/>
      <c r="BH292" s="120"/>
      <c r="BI292" s="120"/>
      <c r="BJ292" s="120"/>
      <c r="BK292" s="120"/>
      <c r="BL292" s="120"/>
      <c r="BM292" s="120"/>
      <c r="BN292" s="120"/>
      <c r="BO292" s="120"/>
      <c r="BP292" s="120"/>
      <c r="BQ292" s="120"/>
      <c r="BR292" s="120"/>
      <c r="BS292" s="120"/>
      <c r="BT292" s="120"/>
      <c r="BU292" s="120"/>
      <c r="BV292" s="120"/>
      <c r="BW292" s="120"/>
      <c r="BX292" s="120"/>
      <c r="BY292" s="120"/>
      <c r="BZ292" s="120"/>
      <c r="CA292" s="120"/>
      <c r="CB292" s="120"/>
      <c r="CC292" s="120"/>
      <c r="CD292" s="120"/>
      <c r="CE292" s="120"/>
      <c r="CF292" s="120"/>
      <c r="CG292" s="120"/>
      <c r="CH292" s="120"/>
      <c r="CI292" s="120"/>
      <c r="CJ292" s="120"/>
      <c r="CK292" s="120"/>
      <c r="CL292" s="120"/>
      <c r="CM292" s="120"/>
      <c r="CN292" s="120"/>
      <c r="CO292" s="120"/>
      <c r="CP292" s="120"/>
      <c r="CQ292" s="120"/>
      <c r="CR292" s="120"/>
      <c r="CS292" s="120"/>
      <c r="CT292" s="120"/>
      <c r="CU292" s="120"/>
      <c r="CV292" s="120"/>
      <c r="CW292" s="120"/>
      <c r="CX292" s="120"/>
      <c r="CY292" s="120"/>
      <c r="CZ292" s="120"/>
      <c r="DA292" s="120"/>
      <c r="DB292" s="120"/>
      <c r="DC292" s="120"/>
      <c r="DD292" s="120"/>
      <c r="DE292" s="120"/>
      <c r="DF292" s="120"/>
      <c r="DG292" s="120"/>
      <c r="DH292" s="120"/>
      <c r="DI292" s="120"/>
      <c r="DJ292" s="120"/>
      <c r="DK292" s="120"/>
      <c r="DL292" s="120"/>
      <c r="DM292" s="120"/>
      <c r="DN292" s="120"/>
      <c r="DO292" s="120"/>
      <c r="DP292" s="120"/>
      <c r="DQ292" s="120"/>
      <c r="DR292" s="120"/>
      <c r="DS292" s="120"/>
      <c r="DT292" s="120"/>
      <c r="DU292" s="120"/>
      <c r="DV292" s="120"/>
      <c r="DW292" s="120"/>
      <c r="DX292" s="120"/>
      <c r="DY292" s="120"/>
      <c r="DZ292" s="120"/>
      <c r="EA292" s="120"/>
      <c r="EB292" s="120"/>
      <c r="EC292" s="120"/>
      <c r="ED292" s="120"/>
      <c r="EE292" s="120"/>
      <c r="EF292" s="120"/>
      <c r="EG292" s="120"/>
      <c r="EH292" s="120"/>
      <c r="EI292" s="120"/>
      <c r="EJ292" s="120"/>
      <c r="EK292" s="120"/>
      <c r="EL292" s="120"/>
      <c r="EM292" s="120"/>
      <c r="EN292" s="120"/>
      <c r="EO292" s="120"/>
      <c r="EP292" s="120"/>
      <c r="EQ292" s="120"/>
      <c r="ER292" s="120"/>
      <c r="ES292" s="120"/>
      <c r="ET292" s="120"/>
      <c r="EU292" s="120"/>
      <c r="EV292" s="120"/>
      <c r="EW292" s="120"/>
      <c r="EX292" s="120"/>
      <c r="EY292" s="120"/>
      <c r="EZ292" s="120"/>
      <c r="FA292" s="120"/>
      <c r="FB292" s="120"/>
      <c r="FC292" s="120"/>
      <c r="FD292" s="120"/>
      <c r="FE292" s="120"/>
      <c r="FF292" s="120"/>
      <c r="FG292" s="120"/>
      <c r="FH292" s="120"/>
      <c r="FI292" s="120"/>
      <c r="FJ292" s="120"/>
      <c r="FK292" s="120"/>
      <c r="FL292" s="120"/>
      <c r="FM292" s="120"/>
      <c r="FN292" s="120"/>
      <c r="FO292" s="120"/>
      <c r="FP292" s="120"/>
      <c r="FQ292" s="120"/>
      <c r="FR292" s="120"/>
      <c r="FS292" s="120"/>
      <c r="FT292" s="120"/>
      <c r="FU292" s="120"/>
      <c r="FV292" s="120"/>
      <c r="FW292" s="120"/>
      <c r="FX292" s="120"/>
      <c r="FY292" s="120"/>
      <c r="FZ292" s="120"/>
      <c r="GA292" s="120"/>
      <c r="GB292" s="120"/>
      <c r="GC292" s="120"/>
      <c r="GD292" s="120"/>
      <c r="GE292" s="120"/>
      <c r="GF292" s="120"/>
      <c r="GG292" s="120"/>
      <c r="GH292" s="120"/>
      <c r="GI292" s="120"/>
      <c r="GJ292" s="120"/>
      <c r="GK292" s="120"/>
      <c r="GL292" s="120"/>
      <c r="GM292" s="120"/>
      <c r="GN292" s="120"/>
      <c r="GO292" s="120"/>
      <c r="GP292" s="120"/>
      <c r="GQ292" s="120"/>
      <c r="GR292" s="120"/>
      <c r="GS292" s="120"/>
      <c r="GT292" s="120"/>
      <c r="GU292" s="120"/>
      <c r="GV292" s="120"/>
      <c r="GW292" s="120"/>
      <c r="GX292" s="120"/>
      <c r="GY292" s="120"/>
      <c r="GZ292" s="120"/>
      <c r="HA292" s="120"/>
      <c r="HB292" s="120"/>
      <c r="HC292" s="120"/>
      <c r="HD292" s="120"/>
      <c r="HE292" s="120"/>
      <c r="HF292" s="120"/>
      <c r="HG292" s="120"/>
      <c r="HH292" s="120"/>
      <c r="HI292" s="120"/>
      <c r="HJ292" s="120"/>
      <c r="HK292" s="120"/>
      <c r="HL292" s="120"/>
      <c r="HM292" s="120"/>
      <c r="HN292" s="120"/>
      <c r="HO292" s="120"/>
      <c r="HP292" s="120"/>
      <c r="HQ292" s="120"/>
      <c r="HR292" s="120"/>
      <c r="HS292" s="120"/>
      <c r="HT292" s="120"/>
      <c r="HU292" s="120"/>
      <c r="HV292" s="120"/>
      <c r="HW292" s="120"/>
      <c r="HX292" s="120"/>
      <c r="HY292" s="120"/>
      <c r="HZ292" s="120"/>
      <c r="IA292" s="120"/>
      <c r="IB292" s="120"/>
      <c r="IC292" s="120"/>
      <c r="ID292" s="120"/>
      <c r="IE292" s="120"/>
      <c r="IF292" s="120"/>
      <c r="IG292" s="120"/>
      <c r="IH292" s="120"/>
      <c r="II292" s="120"/>
      <c r="IJ292" s="120"/>
      <c r="IK292" s="120"/>
      <c r="IL292" s="120"/>
      <c r="IM292" s="120"/>
      <c r="IN292" s="120"/>
      <c r="IO292" s="120"/>
      <c r="IP292" s="120"/>
      <c r="IQ292" s="120"/>
      <c r="IR292" s="120"/>
      <c r="IS292" s="120"/>
      <c r="IT292" s="120"/>
      <c r="IU292" s="120"/>
      <c r="IV292" s="120"/>
      <c r="IW292" s="120"/>
      <c r="IX292" s="120"/>
      <c r="IY292" s="120"/>
      <c r="IZ292" s="120"/>
      <c r="JA292" s="120"/>
      <c r="JB292" s="120"/>
      <c r="JC292" s="120"/>
      <c r="JD292" s="120"/>
      <c r="JE292" s="120"/>
      <c r="JF292" s="120"/>
      <c r="JG292" s="120"/>
      <c r="JH292" s="120"/>
      <c r="JI292" s="120"/>
      <c r="JJ292" s="120"/>
      <c r="JK292" s="120"/>
      <c r="JL292" s="120"/>
      <c r="JM292" s="120"/>
      <c r="JN292" s="120"/>
      <c r="JO292" s="120"/>
      <c r="JP292" s="120"/>
      <c r="JQ292" s="120"/>
      <c r="JR292" s="120"/>
      <c r="JS292" s="120"/>
      <c r="JT292" s="120"/>
      <c r="JU292" s="120"/>
      <c r="JV292" s="120"/>
      <c r="JW292" s="120"/>
      <c r="JX292" s="120"/>
      <c r="JY292" s="120"/>
      <c r="JZ292" s="120"/>
      <c r="KA292" s="120"/>
      <c r="KB292" s="120"/>
      <c r="KC292" s="120"/>
      <c r="KD292" s="120"/>
      <c r="KE292" s="120"/>
      <c r="KF292" s="120"/>
      <c r="KG292" s="120"/>
      <c r="KH292" s="120"/>
      <c r="KI292" s="120"/>
      <c r="KJ292" s="120"/>
      <c r="KK292" s="120"/>
      <c r="KL292" s="120"/>
      <c r="KM292" s="120"/>
      <c r="KN292" s="120"/>
      <c r="KO292" s="120"/>
      <c r="KP292" s="120"/>
      <c r="KQ292" s="120"/>
      <c r="KR292" s="120"/>
      <c r="KS292" s="120"/>
      <c r="KT292" s="120"/>
      <c r="KU292" s="120"/>
      <c r="KV292" s="120"/>
      <c r="KW292" s="120"/>
      <c r="KX292" s="120"/>
      <c r="KY292" s="120"/>
      <c r="KZ292" s="120"/>
      <c r="LA292" s="120"/>
      <c r="LB292" s="120"/>
      <c r="LC292" s="120"/>
      <c r="LD292" s="120"/>
      <c r="LE292" s="120"/>
      <c r="LF292" s="120"/>
      <c r="LG292" s="120"/>
      <c r="LH292" s="120"/>
      <c r="LI292" s="120"/>
      <c r="LJ292" s="120"/>
      <c r="LK292" s="120"/>
      <c r="LL292" s="120"/>
      <c r="LM292" s="120"/>
      <c r="LN292" s="120"/>
      <c r="LO292" s="120"/>
      <c r="LP292" s="120"/>
      <c r="LQ292" s="120"/>
      <c r="LR292" s="120"/>
      <c r="LS292" s="120"/>
      <c r="LT292" s="120"/>
      <c r="LU292" s="120"/>
      <c r="LV292" s="120"/>
      <c r="LW292" s="120"/>
      <c r="LX292" s="120"/>
      <c r="LY292" s="120"/>
      <c r="LZ292" s="120"/>
      <c r="MA292" s="120"/>
      <c r="MB292" s="120"/>
      <c r="MC292" s="120"/>
      <c r="MD292" s="120"/>
      <c r="ME292" s="120"/>
      <c r="MF292" s="120"/>
      <c r="MG292" s="120"/>
      <c r="MH292" s="120"/>
      <c r="MI292" s="120"/>
      <c r="MJ292" s="120"/>
      <c r="MK292" s="120"/>
      <c r="ML292" s="120"/>
      <c r="MM292" s="120"/>
      <c r="MN292" s="120"/>
      <c r="MO292" s="120"/>
      <c r="MP292" s="120"/>
      <c r="MQ292" s="120"/>
      <c r="MR292" s="120"/>
      <c r="MS292" s="120"/>
      <c r="MT292" s="120"/>
      <c r="MU292" s="120"/>
      <c r="MV292" s="120"/>
      <c r="MW292" s="120"/>
      <c r="MX292" s="120"/>
      <c r="MY292" s="120"/>
      <c r="MZ292" s="120"/>
      <c r="NA292" s="120"/>
      <c r="NB292" s="120"/>
      <c r="NC292" s="120"/>
      <c r="ND292" s="120"/>
      <c r="NE292" s="120"/>
      <c r="NF292" s="120"/>
      <c r="NG292" s="120"/>
      <c r="NH292" s="120"/>
      <c r="NI292" s="120"/>
      <c r="NJ292" s="120"/>
      <c r="NK292" s="120"/>
      <c r="NL292" s="120"/>
      <c r="NM292" s="120"/>
      <c r="NN292" s="120"/>
      <c r="NO292" s="120"/>
      <c r="NP292" s="120"/>
      <c r="NQ292" s="120"/>
      <c r="NR292" s="120"/>
      <c r="NS292" s="120"/>
      <c r="NT292" s="120"/>
      <c r="NU292" s="120"/>
      <c r="NV292" s="120"/>
      <c r="NW292" s="120"/>
      <c r="NX292" s="120"/>
      <c r="NY292" s="120"/>
      <c r="NZ292" s="120"/>
      <c r="OA292" s="120"/>
      <c r="OB292" s="120"/>
      <c r="OC292" s="120"/>
      <c r="OD292" s="120"/>
      <c r="OE292" s="120"/>
      <c r="OF292" s="120"/>
      <c r="OG292" s="120"/>
      <c r="OH292" s="120"/>
      <c r="OI292" s="120"/>
      <c r="OJ292" s="120"/>
      <c r="OK292" s="120"/>
      <c r="OL292" s="120"/>
      <c r="OM292" s="120"/>
      <c r="ON292" s="120"/>
      <c r="OO292" s="120"/>
      <c r="OP292" s="120"/>
      <c r="OQ292" s="120"/>
      <c r="OR292" s="120"/>
      <c r="OS292" s="120"/>
      <c r="OT292" s="120"/>
      <c r="OU292" s="120"/>
      <c r="OV292" s="120"/>
      <c r="OW292" s="120"/>
      <c r="OX292" s="120"/>
      <c r="OY292" s="120"/>
      <c r="OZ292" s="120"/>
      <c r="PA292" s="120"/>
      <c r="PB292" s="120"/>
      <c r="PC292" s="120"/>
      <c r="PD292" s="120"/>
      <c r="PE292" s="120"/>
      <c r="PF292" s="120"/>
      <c r="PG292" s="120"/>
      <c r="PH292" s="120"/>
      <c r="PI292" s="120"/>
      <c r="PJ292" s="120"/>
      <c r="PK292" s="120"/>
      <c r="PL292" s="120"/>
      <c r="PM292" s="120"/>
      <c r="PN292" s="120"/>
      <c r="PO292" s="120"/>
      <c r="PP292" s="120"/>
      <c r="PQ292" s="120"/>
      <c r="PR292" s="120"/>
      <c r="PS292" s="120"/>
      <c r="PT292" s="120"/>
      <c r="PU292" s="120"/>
      <c r="PV292" s="120"/>
      <c r="PW292" s="120"/>
      <c r="PX292" s="120"/>
      <c r="PY292" s="120"/>
      <c r="PZ292" s="120"/>
      <c r="QA292" s="120"/>
      <c r="QB292" s="120"/>
      <c r="QC292" s="120"/>
      <c r="QD292" s="120"/>
      <c r="QE292" s="120"/>
      <c r="QF292" s="120"/>
      <c r="QG292" s="120"/>
      <c r="QH292" s="120"/>
      <c r="QI292" s="120"/>
      <c r="QJ292" s="120"/>
      <c r="QK292" s="120"/>
      <c r="QL292" s="120"/>
      <c r="QM292" s="120"/>
      <c r="QN292" s="120"/>
      <c r="QO292" s="120"/>
      <c r="QP292" s="120"/>
      <c r="QQ292" s="120"/>
      <c r="QR292" s="120"/>
      <c r="QS292" s="120"/>
      <c r="QT292" s="120"/>
      <c r="QU292" s="120"/>
      <c r="QV292" s="120"/>
      <c r="QW292" s="120"/>
      <c r="QX292" s="120"/>
      <c r="QY292" s="120"/>
      <c r="QZ292" s="120"/>
      <c r="RA292" s="120"/>
      <c r="RB292" s="120"/>
      <c r="RC292" s="120"/>
      <c r="RD292" s="120"/>
      <c r="RE292" s="120"/>
      <c r="RF292" s="120"/>
      <c r="RG292" s="120"/>
      <c r="RH292" s="120"/>
      <c r="RI292" s="120"/>
      <c r="RJ292" s="120"/>
      <c r="RK292" s="120"/>
      <c r="RL292" s="120"/>
      <c r="RM292" s="120"/>
      <c r="RN292" s="120"/>
      <c r="RO292" s="120"/>
      <c r="RP292" s="120"/>
      <c r="RQ292" s="120"/>
      <c r="RR292" s="120"/>
      <c r="RS292" s="120"/>
      <c r="RT292" s="120"/>
      <c r="RU292" s="120"/>
      <c r="RV292" s="120"/>
      <c r="RW292" s="120"/>
      <c r="RX292" s="120"/>
      <c r="RY292" s="120"/>
      <c r="RZ292" s="120"/>
      <c r="SA292" s="120"/>
      <c r="SB292" s="120"/>
      <c r="SC292" s="120"/>
      <c r="SD292" s="120"/>
      <c r="SE292" s="120"/>
      <c r="SF292" s="120"/>
      <c r="SG292" s="120"/>
      <c r="SH292" s="120"/>
      <c r="SI292" s="120"/>
      <c r="SJ292" s="120"/>
      <c r="SK292" s="120"/>
      <c r="SL292" s="120"/>
      <c r="SM292" s="120"/>
      <c r="SN292" s="120"/>
      <c r="SO292" s="120"/>
      <c r="SP292" s="120"/>
      <c r="SQ292" s="120"/>
      <c r="SR292" s="120"/>
      <c r="SS292" s="120"/>
      <c r="ST292" s="120"/>
      <c r="SU292" s="120"/>
      <c r="SV292" s="120"/>
      <c r="SW292" s="120"/>
      <c r="SX292" s="120"/>
      <c r="SY292" s="120"/>
      <c r="SZ292" s="120"/>
      <c r="TA292" s="120"/>
      <c r="TB292" s="120"/>
      <c r="TC292" s="120"/>
      <c r="TD292" s="120"/>
      <c r="TE292" s="120"/>
      <c r="TF292" s="120"/>
      <c r="TG292" s="120"/>
      <c r="TH292" s="120"/>
      <c r="TI292" s="120"/>
      <c r="TJ292" s="120"/>
      <c r="TK292" s="120"/>
      <c r="TL292" s="120"/>
      <c r="TM292" s="120"/>
      <c r="TN292" s="120"/>
      <c r="TO292" s="120"/>
      <c r="TP292" s="120"/>
      <c r="TQ292" s="120"/>
      <c r="TR292" s="120"/>
      <c r="TS292" s="120"/>
      <c r="TT292" s="120"/>
      <c r="TU292" s="120"/>
      <c r="TV292" s="120"/>
      <c r="TW292" s="120"/>
      <c r="TX292" s="120"/>
      <c r="TY292" s="120"/>
      <c r="TZ292" s="120"/>
      <c r="UA292" s="120"/>
      <c r="UB292" s="120"/>
      <c r="UC292" s="120"/>
      <c r="UD292" s="120"/>
      <c r="UE292" s="120"/>
      <c r="UF292" s="120"/>
      <c r="UG292" s="120"/>
      <c r="UH292" s="120"/>
      <c r="UI292" s="120"/>
      <c r="UJ292" s="120"/>
      <c r="UK292" s="120"/>
      <c r="UL292" s="120"/>
      <c r="UM292" s="120"/>
      <c r="UN292" s="120"/>
      <c r="UO292" s="120"/>
      <c r="UP292" s="120"/>
      <c r="UQ292" s="120"/>
      <c r="UR292" s="120"/>
      <c r="US292" s="120"/>
      <c r="UT292" s="120"/>
      <c r="UU292" s="120"/>
      <c r="UV292" s="120"/>
      <c r="UW292" s="120"/>
      <c r="UX292" s="120"/>
      <c r="UY292" s="120"/>
      <c r="UZ292" s="120"/>
      <c r="VA292" s="120"/>
      <c r="VB292" s="120"/>
      <c r="VC292" s="120"/>
      <c r="VD292" s="120"/>
      <c r="VE292" s="120"/>
      <c r="VF292" s="120"/>
      <c r="VG292" s="120"/>
      <c r="VH292" s="120"/>
      <c r="VI292" s="120"/>
      <c r="VJ292" s="120"/>
      <c r="VK292" s="120"/>
      <c r="VL292" s="120"/>
      <c r="VM292" s="120"/>
      <c r="VN292" s="120"/>
      <c r="VO292" s="120"/>
      <c r="VP292" s="120"/>
      <c r="VQ292" s="120"/>
      <c r="VR292" s="120"/>
      <c r="VS292" s="120"/>
      <c r="VT292" s="120"/>
      <c r="VU292" s="120"/>
      <c r="VV292" s="120"/>
      <c r="VW292" s="120"/>
      <c r="VX292" s="120"/>
      <c r="VY292" s="120"/>
      <c r="VZ292" s="120"/>
      <c r="WA292" s="120"/>
      <c r="WB292" s="120"/>
      <c r="WC292" s="120"/>
      <c r="WD292" s="120"/>
      <c r="WE292" s="120"/>
      <c r="WF292" s="120"/>
      <c r="WG292" s="120"/>
      <c r="WH292" s="120"/>
      <c r="WI292" s="120"/>
      <c r="WJ292" s="120"/>
      <c r="WK292" s="120"/>
      <c r="WL292" s="120"/>
      <c r="WM292" s="120"/>
      <c r="WN292" s="120"/>
      <c r="WO292" s="120"/>
      <c r="WP292" s="120"/>
      <c r="WQ292" s="120"/>
      <c r="WR292" s="120"/>
      <c r="WS292" s="120"/>
      <c r="WT292" s="120"/>
      <c r="WU292" s="120"/>
      <c r="WV292" s="120"/>
      <c r="WW292" s="120"/>
      <c r="WX292" s="120"/>
      <c r="WY292" s="120"/>
      <c r="WZ292" s="120"/>
      <c r="XA292" s="120"/>
      <c r="XB292" s="120"/>
      <c r="XC292" s="120"/>
      <c r="XD292" s="120"/>
      <c r="XE292" s="120"/>
      <c r="XF292" s="120"/>
      <c r="XG292" s="120"/>
      <c r="XH292" s="120"/>
      <c r="XI292" s="120"/>
      <c r="XJ292" s="120"/>
      <c r="XK292" s="120"/>
      <c r="XL292" s="120"/>
      <c r="XM292" s="120"/>
      <c r="XN292" s="120"/>
      <c r="XO292" s="120"/>
      <c r="XP292" s="120"/>
      <c r="XQ292" s="120"/>
      <c r="XR292" s="120"/>
      <c r="XS292" s="120"/>
      <c r="XT292" s="120"/>
      <c r="XU292" s="120"/>
      <c r="XV292" s="120"/>
      <c r="XW292" s="120"/>
      <c r="XX292" s="120"/>
      <c r="XY292" s="120"/>
      <c r="XZ292" s="120"/>
      <c r="YA292" s="120"/>
      <c r="YB292" s="120"/>
      <c r="YC292" s="120"/>
      <c r="YD292" s="120"/>
      <c r="YE292" s="120"/>
      <c r="YF292" s="120"/>
      <c r="YG292" s="120"/>
      <c r="YH292" s="120"/>
      <c r="YI292" s="120"/>
      <c r="YJ292" s="120"/>
      <c r="YK292" s="120"/>
      <c r="YL292" s="120"/>
      <c r="YM292" s="120"/>
      <c r="YN292" s="120"/>
      <c r="YO292" s="120"/>
      <c r="YP292" s="120"/>
      <c r="YQ292" s="120"/>
      <c r="YR292" s="120"/>
      <c r="YS292" s="120"/>
      <c r="YT292" s="120"/>
      <c r="YU292" s="120"/>
      <c r="YV292" s="120"/>
      <c r="YW292" s="120"/>
      <c r="YX292" s="120"/>
      <c r="YY292" s="120"/>
      <c r="YZ292" s="120"/>
      <c r="ZA292" s="120"/>
      <c r="ZB292" s="120"/>
      <c r="ZC292" s="120"/>
      <c r="ZD292" s="120"/>
      <c r="ZE292" s="120"/>
      <c r="ZF292" s="120"/>
      <c r="ZG292" s="120"/>
      <c r="ZH292" s="120"/>
      <c r="ZI292" s="120"/>
      <c r="ZJ292" s="120"/>
      <c r="ZK292" s="120"/>
      <c r="ZL292" s="120"/>
      <c r="ZM292" s="120"/>
      <c r="ZN292" s="120"/>
      <c r="ZO292" s="120"/>
      <c r="ZP292" s="120"/>
      <c r="ZQ292" s="120"/>
      <c r="ZR292" s="120"/>
      <c r="ZS292" s="120"/>
      <c r="ZT292" s="120"/>
      <c r="ZU292" s="120"/>
      <c r="ZV292" s="120"/>
      <c r="ZW292" s="120"/>
      <c r="ZX292" s="120"/>
      <c r="ZY292" s="120"/>
      <c r="ZZ292" s="120"/>
      <c r="AAA292" s="120"/>
      <c r="AAB292" s="120"/>
      <c r="AAC292" s="120"/>
      <c r="AAD292" s="120"/>
      <c r="AAE292" s="120"/>
      <c r="AAF292" s="120"/>
      <c r="AAG292" s="120"/>
      <c r="AAH292" s="120"/>
      <c r="AAI292" s="120"/>
      <c r="AAJ292" s="120"/>
      <c r="AAK292" s="120"/>
      <c r="AAL292" s="120"/>
      <c r="AAM292" s="120"/>
      <c r="AAN292" s="120"/>
      <c r="AAO292" s="120"/>
      <c r="AAP292" s="120"/>
      <c r="AAQ292" s="120"/>
      <c r="AAR292" s="120"/>
      <c r="AAS292" s="120"/>
      <c r="AAT292" s="120"/>
      <c r="AAU292" s="120"/>
      <c r="AAV292" s="120"/>
      <c r="AAW292" s="120"/>
      <c r="AAX292" s="120"/>
      <c r="AAY292" s="120"/>
      <c r="AAZ292" s="120"/>
      <c r="ABA292" s="120"/>
      <c r="ABB292" s="120"/>
      <c r="ABC292" s="120"/>
      <c r="ABD292" s="120"/>
      <c r="ABE292" s="120"/>
      <c r="ABF292" s="120"/>
      <c r="ABG292" s="120"/>
      <c r="ABH292" s="120"/>
      <c r="ABI292" s="120"/>
      <c r="ABJ292" s="120"/>
      <c r="ABK292" s="120"/>
      <c r="ABL292" s="120"/>
      <c r="ABM292" s="120"/>
      <c r="ABN292" s="120"/>
      <c r="ABO292" s="120"/>
      <c r="ABP292" s="120"/>
      <c r="ABQ292" s="120"/>
      <c r="ABR292" s="120"/>
      <c r="ABS292" s="120"/>
      <c r="ABT292" s="120"/>
      <c r="ABU292" s="120"/>
      <c r="ABV292" s="120"/>
      <c r="ABW292" s="120"/>
      <c r="ABX292" s="120"/>
      <c r="ABY292" s="120"/>
      <c r="ABZ292" s="120"/>
      <c r="ACA292" s="120"/>
      <c r="ACB292" s="120"/>
      <c r="ACC292" s="120"/>
      <c r="ACD292" s="120"/>
      <c r="ACE292" s="120"/>
      <c r="ACF292" s="120"/>
      <c r="ACG292" s="120"/>
      <c r="ACH292" s="120"/>
      <c r="ACI292" s="120"/>
      <c r="ACJ292" s="120"/>
      <c r="ACK292" s="120"/>
      <c r="ACL292" s="120"/>
      <c r="ACM292" s="120"/>
      <c r="ACN292" s="120"/>
      <c r="ACO292" s="120"/>
      <c r="ACP292" s="120"/>
      <c r="ACQ292" s="120"/>
      <c r="ACR292" s="120"/>
      <c r="ACS292" s="120"/>
      <c r="ACT292" s="120"/>
      <c r="ACU292" s="120"/>
      <c r="ACV292" s="120"/>
      <c r="ACW292" s="120"/>
      <c r="ACX292" s="120"/>
      <c r="ACY292" s="120"/>
      <c r="ACZ292" s="120"/>
      <c r="ADA292" s="120"/>
      <c r="ADB292" s="120"/>
      <c r="ADC292" s="120"/>
      <c r="ADD292" s="120"/>
      <c r="ADE292" s="120"/>
      <c r="ADF292" s="120"/>
      <c r="ADG292" s="120"/>
      <c r="ADH292" s="120"/>
      <c r="ADI292" s="120"/>
      <c r="ADJ292" s="120"/>
      <c r="ADK292" s="120"/>
      <c r="ADL292" s="120"/>
      <c r="ADM292" s="120"/>
      <c r="ADN292" s="120"/>
      <c r="ADO292" s="120"/>
      <c r="ADP292" s="120"/>
      <c r="ADQ292" s="120"/>
      <c r="ADR292" s="120"/>
      <c r="ADS292" s="120"/>
      <c r="ADT292" s="120"/>
      <c r="ADU292" s="120"/>
      <c r="ADV292" s="120"/>
      <c r="ADW292" s="120"/>
      <c r="ADX292" s="120"/>
      <c r="ADY292" s="120"/>
      <c r="ADZ292" s="120"/>
      <c r="AEA292" s="120"/>
      <c r="AEB292" s="120"/>
      <c r="AEC292" s="120"/>
      <c r="AED292" s="120"/>
      <c r="AEE292" s="120"/>
      <c r="AEF292" s="120"/>
      <c r="AEG292" s="120"/>
      <c r="AEH292" s="120"/>
      <c r="AEI292" s="120"/>
      <c r="AEJ292" s="120"/>
      <c r="AEK292" s="120"/>
      <c r="AEL292" s="120"/>
      <c r="AEM292" s="120"/>
      <c r="AEN292" s="120"/>
      <c r="AEO292" s="120"/>
      <c r="AEP292" s="120"/>
      <c r="AEQ292" s="120"/>
      <c r="AER292" s="120"/>
      <c r="AES292" s="120"/>
      <c r="AET292" s="120"/>
      <c r="AEU292" s="120"/>
      <c r="AEV292" s="120"/>
      <c r="AEW292" s="120"/>
      <c r="AEX292" s="120"/>
      <c r="AEY292" s="120"/>
      <c r="AEZ292" s="120"/>
      <c r="AFA292" s="120"/>
      <c r="AFB292" s="120"/>
      <c r="AFC292" s="120"/>
      <c r="AFD292" s="120"/>
      <c r="AFE292" s="120"/>
      <c r="AFF292" s="120"/>
      <c r="AFG292" s="120"/>
      <c r="AFH292" s="120"/>
      <c r="AFI292" s="120"/>
      <c r="AFJ292" s="120"/>
      <c r="AFK292" s="120"/>
      <c r="AFL292" s="120"/>
      <c r="AFM292" s="120"/>
      <c r="AFN292" s="120"/>
      <c r="AFO292" s="120"/>
      <c r="AFP292" s="120"/>
      <c r="AFQ292" s="120"/>
      <c r="AFR292" s="120"/>
      <c r="AFS292" s="120"/>
      <c r="AFT292" s="120"/>
      <c r="AFU292" s="120"/>
      <c r="AFV292" s="120"/>
      <c r="AFW292" s="120"/>
      <c r="AFX292" s="120"/>
      <c r="AFY292" s="120"/>
      <c r="AFZ292" s="120"/>
      <c r="AGA292" s="120"/>
      <c r="AGB292" s="120"/>
      <c r="AGC292" s="120"/>
      <c r="AGD292" s="120"/>
      <c r="AGE292" s="120"/>
      <c r="AGF292" s="120"/>
      <c r="AGG292" s="120"/>
      <c r="AGH292" s="120"/>
      <c r="AGI292" s="120"/>
      <c r="AGJ292" s="120"/>
      <c r="AGK292" s="120"/>
      <c r="AGL292" s="120"/>
      <c r="AGM292" s="120"/>
      <c r="AGN292" s="120"/>
      <c r="AGO292" s="120"/>
      <c r="AGP292" s="120"/>
      <c r="AGQ292" s="120"/>
      <c r="AGR292" s="120"/>
      <c r="AGS292" s="120"/>
      <c r="AGT292" s="120"/>
      <c r="AGU292" s="120"/>
      <c r="AGV292" s="120"/>
      <c r="AGW292" s="120"/>
      <c r="AGX292" s="120"/>
      <c r="AGY292" s="120"/>
      <c r="AGZ292" s="120"/>
      <c r="AHA292" s="120"/>
      <c r="AHB292" s="120"/>
      <c r="AHC292" s="120"/>
      <c r="AHD292" s="120"/>
      <c r="AHE292" s="120"/>
      <c r="AHF292" s="120"/>
      <c r="AHG292" s="120"/>
      <c r="AHH292" s="120"/>
      <c r="AHI292" s="120"/>
      <c r="AHJ292" s="120"/>
      <c r="AHK292" s="120"/>
      <c r="AHL292" s="120"/>
      <c r="AHM292" s="120"/>
      <c r="AHN292" s="120"/>
      <c r="AHO292" s="120"/>
      <c r="AHP292" s="120"/>
      <c r="AHQ292" s="120"/>
      <c r="AHR292" s="120"/>
      <c r="AHS292" s="120"/>
      <c r="AHT292" s="120"/>
      <c r="AHU292" s="120"/>
      <c r="AHV292" s="120"/>
      <c r="AHW292" s="120"/>
      <c r="AHX292" s="120"/>
      <c r="AHY292" s="120"/>
      <c r="AHZ292" s="120"/>
      <c r="AIA292" s="120"/>
      <c r="AIB292" s="120"/>
      <c r="AIC292" s="120"/>
      <c r="AID292" s="120"/>
      <c r="AIE292" s="120"/>
      <c r="AIF292" s="120"/>
      <c r="AIG292" s="120"/>
      <c r="AIH292" s="120"/>
      <c r="AII292" s="120"/>
      <c r="AIJ292" s="120"/>
      <c r="AIK292" s="120"/>
      <c r="AIL292" s="120"/>
      <c r="AIM292" s="120"/>
      <c r="AIN292" s="120"/>
      <c r="AIO292" s="120"/>
      <c r="AIP292" s="120"/>
      <c r="AIQ292" s="120"/>
      <c r="AIR292" s="120"/>
      <c r="AIS292" s="120"/>
      <c r="AIT292" s="120"/>
      <c r="AIU292" s="120"/>
      <c r="AIV292" s="120"/>
      <c r="AIW292" s="120"/>
      <c r="AIX292" s="120"/>
      <c r="AIY292" s="120"/>
      <c r="AIZ292" s="120"/>
      <c r="AJA292" s="120"/>
      <c r="AJB292" s="120"/>
      <c r="AJC292" s="120"/>
      <c r="AJD292" s="120"/>
      <c r="AJE292" s="120"/>
      <c r="AJF292" s="120"/>
      <c r="AJG292" s="120"/>
      <c r="AJH292" s="120"/>
      <c r="AJI292" s="120"/>
      <c r="AJJ292" s="120"/>
      <c r="AJK292" s="120"/>
      <c r="AJL292" s="120"/>
      <c r="AJM292" s="120"/>
      <c r="AJN292" s="120"/>
      <c r="AJO292" s="120"/>
      <c r="AJP292" s="120"/>
      <c r="AJQ292" s="120"/>
      <c r="AJR292" s="120"/>
      <c r="AJS292" s="120"/>
      <c r="AJT292" s="120"/>
      <c r="AJU292" s="120"/>
      <c r="AJV292" s="120"/>
      <c r="AJW292" s="120"/>
      <c r="AJX292" s="120"/>
      <c r="AJY292" s="120"/>
      <c r="AJZ292" s="120"/>
      <c r="AKA292" s="120"/>
      <c r="AKB292" s="120"/>
      <c r="AKC292" s="120"/>
      <c r="AKD292" s="120"/>
      <c r="AKE292" s="120"/>
      <c r="AKF292" s="120"/>
      <c r="AKG292" s="120"/>
      <c r="AKH292" s="120"/>
      <c r="AKI292" s="120"/>
      <c r="AKJ292" s="120"/>
      <c r="AKK292" s="120"/>
      <c r="AKL292" s="120"/>
      <c r="AKM292" s="120"/>
      <c r="AKN292" s="120"/>
      <c r="AKO292" s="120"/>
      <c r="AKP292" s="120"/>
      <c r="AKQ292" s="120"/>
      <c r="AKR292" s="120"/>
      <c r="AKS292" s="120"/>
      <c r="AKT292" s="120"/>
      <c r="AKU292" s="120"/>
      <c r="AKV292" s="120"/>
      <c r="AKW292" s="120"/>
      <c r="AKX292" s="120"/>
      <c r="AKY292" s="120"/>
      <c r="AKZ292" s="120"/>
      <c r="ALA292" s="120"/>
      <c r="ALB292" s="120"/>
      <c r="ALC292" s="120"/>
      <c r="ALD292" s="120"/>
      <c r="ALE292" s="120"/>
      <c r="ALF292" s="120"/>
      <c r="ALG292" s="120"/>
      <c r="ALH292" s="120"/>
      <c r="ALI292" s="120"/>
      <c r="ALJ292" s="120"/>
      <c r="ALK292" s="120"/>
      <c r="ALL292" s="120"/>
      <c r="ALM292" s="120"/>
      <c r="ALN292" s="120"/>
      <c r="ALO292" s="120"/>
      <c r="ALP292" s="120"/>
      <c r="ALQ292" s="120"/>
      <c r="ALR292" s="120"/>
      <c r="ALS292" s="120"/>
      <c r="ALT292" s="120"/>
      <c r="ALU292" s="120"/>
      <c r="ALV292" s="120"/>
      <c r="ALW292" s="120"/>
      <c r="ALX292" s="120"/>
      <c r="ALY292" s="120"/>
      <c r="ALZ292" s="120"/>
      <c r="AMA292" s="120"/>
      <c r="AMB292" s="120"/>
      <c r="AMC292" s="120"/>
      <c r="AMD292" s="120"/>
      <c r="AME292" s="120"/>
      <c r="AMF292" s="120"/>
      <c r="AMG292" s="120"/>
      <c r="AMH292" s="120"/>
    </row>
    <row r="293" spans="1:1022" s="119" customFormat="1" ht="15.75" customHeight="1" x14ac:dyDescent="0.25">
      <c r="A293" s="122"/>
      <c r="B293" s="230" t="s">
        <v>291</v>
      </c>
      <c r="C293" s="231"/>
      <c r="D293" s="231"/>
      <c r="E293" s="231"/>
      <c r="F293" s="231"/>
      <c r="G293" s="174"/>
      <c r="H293" s="232" t="s">
        <v>146</v>
      </c>
      <c r="I293" s="232"/>
      <c r="J293" s="232"/>
      <c r="K293" s="232"/>
      <c r="L293" s="233"/>
      <c r="M293" s="120"/>
      <c r="N293" s="120"/>
      <c r="O293" s="120"/>
      <c r="P293" s="120"/>
      <c r="Q293" s="120"/>
      <c r="R293" s="120"/>
      <c r="S293" s="120"/>
      <c r="T293" s="120"/>
      <c r="U293" s="120"/>
      <c r="V293" s="120"/>
      <c r="W293" s="120"/>
      <c r="X293" s="120"/>
      <c r="Y293" s="120"/>
      <c r="Z293" s="120"/>
      <c r="AA293" s="120"/>
      <c r="AB293" s="120"/>
      <c r="AC293" s="120"/>
      <c r="AD293" s="120"/>
      <c r="AE293" s="120"/>
      <c r="AF293" s="120"/>
      <c r="AG293" s="120"/>
      <c r="AH293" s="120"/>
      <c r="AI293" s="120"/>
      <c r="AJ293" s="120"/>
      <c r="AK293" s="120"/>
      <c r="AL293" s="120"/>
      <c r="AM293" s="120"/>
      <c r="AN293" s="120"/>
      <c r="AO293" s="120"/>
      <c r="AP293" s="120"/>
      <c r="AQ293" s="120"/>
      <c r="AR293" s="120"/>
      <c r="AS293" s="120"/>
      <c r="AT293" s="120"/>
      <c r="AU293" s="120"/>
      <c r="AV293" s="120"/>
      <c r="AW293" s="120"/>
      <c r="AX293" s="120"/>
      <c r="AY293" s="120"/>
      <c r="AZ293" s="120"/>
      <c r="BA293" s="120"/>
      <c r="BB293" s="120"/>
      <c r="BC293" s="120"/>
      <c r="BD293" s="120"/>
      <c r="BE293" s="120"/>
      <c r="BF293" s="120"/>
      <c r="BG293" s="120"/>
      <c r="BH293" s="120"/>
      <c r="BI293" s="120"/>
      <c r="BJ293" s="120"/>
      <c r="BK293" s="120"/>
      <c r="BL293" s="120"/>
      <c r="BM293" s="120"/>
      <c r="BN293" s="120"/>
      <c r="BO293" s="120"/>
      <c r="BP293" s="120"/>
      <c r="BQ293" s="120"/>
      <c r="BR293" s="120"/>
      <c r="BS293" s="120"/>
      <c r="BT293" s="120"/>
      <c r="BU293" s="120"/>
      <c r="BV293" s="120"/>
      <c r="BW293" s="120"/>
      <c r="BX293" s="120"/>
      <c r="BY293" s="120"/>
      <c r="BZ293" s="120"/>
      <c r="CA293" s="120"/>
      <c r="CB293" s="120"/>
      <c r="CC293" s="120"/>
      <c r="CD293" s="120"/>
      <c r="CE293" s="120"/>
      <c r="CF293" s="120"/>
      <c r="CG293" s="120"/>
      <c r="CH293" s="120"/>
      <c r="CI293" s="120"/>
      <c r="CJ293" s="120"/>
      <c r="CK293" s="120"/>
      <c r="CL293" s="120"/>
      <c r="CM293" s="120"/>
      <c r="CN293" s="120"/>
      <c r="CO293" s="120"/>
      <c r="CP293" s="120"/>
      <c r="CQ293" s="120"/>
      <c r="CR293" s="120"/>
      <c r="CS293" s="120"/>
      <c r="CT293" s="120"/>
      <c r="CU293" s="120"/>
      <c r="CV293" s="120"/>
      <c r="CW293" s="120"/>
      <c r="CX293" s="120"/>
      <c r="CY293" s="120"/>
      <c r="CZ293" s="120"/>
      <c r="DA293" s="120"/>
      <c r="DB293" s="120"/>
      <c r="DC293" s="120"/>
      <c r="DD293" s="120"/>
      <c r="DE293" s="120"/>
      <c r="DF293" s="120"/>
      <c r="DG293" s="120"/>
      <c r="DH293" s="120"/>
      <c r="DI293" s="120"/>
      <c r="DJ293" s="120"/>
      <c r="DK293" s="120"/>
      <c r="DL293" s="120"/>
      <c r="DM293" s="120"/>
      <c r="DN293" s="120"/>
      <c r="DO293" s="120"/>
      <c r="DP293" s="120"/>
      <c r="DQ293" s="120"/>
      <c r="DR293" s="120"/>
      <c r="DS293" s="120"/>
      <c r="DT293" s="120"/>
      <c r="DU293" s="120"/>
      <c r="DV293" s="120"/>
      <c r="DW293" s="120"/>
      <c r="DX293" s="120"/>
      <c r="DY293" s="120"/>
      <c r="DZ293" s="120"/>
      <c r="EA293" s="120"/>
      <c r="EB293" s="120"/>
      <c r="EC293" s="120"/>
      <c r="ED293" s="120"/>
      <c r="EE293" s="120"/>
      <c r="EF293" s="120"/>
      <c r="EG293" s="120"/>
      <c r="EH293" s="120"/>
      <c r="EI293" s="120"/>
      <c r="EJ293" s="120"/>
      <c r="EK293" s="120"/>
      <c r="EL293" s="120"/>
      <c r="EM293" s="120"/>
      <c r="EN293" s="120"/>
      <c r="EO293" s="120"/>
      <c r="EP293" s="120"/>
      <c r="EQ293" s="120"/>
      <c r="ER293" s="120"/>
      <c r="ES293" s="120"/>
      <c r="ET293" s="120"/>
      <c r="EU293" s="120"/>
      <c r="EV293" s="120"/>
      <c r="EW293" s="120"/>
      <c r="EX293" s="120"/>
      <c r="EY293" s="120"/>
      <c r="EZ293" s="120"/>
      <c r="FA293" s="120"/>
      <c r="FB293" s="120"/>
      <c r="FC293" s="120"/>
      <c r="FD293" s="120"/>
      <c r="FE293" s="120"/>
      <c r="FF293" s="120"/>
      <c r="FG293" s="120"/>
      <c r="FH293" s="120"/>
      <c r="FI293" s="120"/>
      <c r="FJ293" s="120"/>
      <c r="FK293" s="120"/>
      <c r="FL293" s="120"/>
      <c r="FM293" s="120"/>
      <c r="FN293" s="120"/>
      <c r="FO293" s="120"/>
      <c r="FP293" s="120"/>
      <c r="FQ293" s="120"/>
      <c r="FR293" s="120"/>
      <c r="FS293" s="120"/>
      <c r="FT293" s="120"/>
      <c r="FU293" s="120"/>
      <c r="FV293" s="120"/>
      <c r="FW293" s="120"/>
      <c r="FX293" s="120"/>
      <c r="FY293" s="120"/>
      <c r="FZ293" s="120"/>
      <c r="GA293" s="120"/>
      <c r="GB293" s="120"/>
      <c r="GC293" s="120"/>
      <c r="GD293" s="120"/>
      <c r="GE293" s="120"/>
      <c r="GF293" s="120"/>
      <c r="GG293" s="120"/>
      <c r="GH293" s="120"/>
      <c r="GI293" s="120"/>
      <c r="GJ293" s="120"/>
      <c r="GK293" s="120"/>
      <c r="GL293" s="120"/>
      <c r="GM293" s="120"/>
      <c r="GN293" s="120"/>
      <c r="GO293" s="120"/>
      <c r="GP293" s="120"/>
      <c r="GQ293" s="120"/>
      <c r="GR293" s="120"/>
      <c r="GS293" s="120"/>
      <c r="GT293" s="120"/>
      <c r="GU293" s="120"/>
      <c r="GV293" s="120"/>
      <c r="GW293" s="120"/>
      <c r="GX293" s="120"/>
      <c r="GY293" s="120"/>
      <c r="GZ293" s="120"/>
      <c r="HA293" s="120"/>
      <c r="HB293" s="120"/>
      <c r="HC293" s="120"/>
      <c r="HD293" s="120"/>
      <c r="HE293" s="120"/>
      <c r="HF293" s="120"/>
      <c r="HG293" s="120"/>
      <c r="HH293" s="120"/>
      <c r="HI293" s="120"/>
      <c r="HJ293" s="120"/>
      <c r="HK293" s="120"/>
      <c r="HL293" s="120"/>
      <c r="HM293" s="120"/>
      <c r="HN293" s="120"/>
      <c r="HO293" s="120"/>
      <c r="HP293" s="120"/>
      <c r="HQ293" s="120"/>
      <c r="HR293" s="120"/>
      <c r="HS293" s="120"/>
      <c r="HT293" s="120"/>
      <c r="HU293" s="120"/>
      <c r="HV293" s="120"/>
      <c r="HW293" s="120"/>
      <c r="HX293" s="120"/>
      <c r="HY293" s="120"/>
      <c r="HZ293" s="120"/>
      <c r="IA293" s="120"/>
      <c r="IB293" s="120"/>
      <c r="IC293" s="120"/>
      <c r="ID293" s="120"/>
      <c r="IE293" s="120"/>
      <c r="IF293" s="120"/>
      <c r="IG293" s="120"/>
      <c r="IH293" s="120"/>
      <c r="II293" s="120"/>
      <c r="IJ293" s="120"/>
      <c r="IK293" s="120"/>
      <c r="IL293" s="120"/>
      <c r="IM293" s="120"/>
      <c r="IN293" s="120"/>
      <c r="IO293" s="120"/>
      <c r="IP293" s="120"/>
      <c r="IQ293" s="120"/>
      <c r="IR293" s="120"/>
      <c r="IS293" s="120"/>
      <c r="IT293" s="120"/>
      <c r="IU293" s="120"/>
      <c r="IV293" s="120"/>
      <c r="IW293" s="120"/>
      <c r="IX293" s="120"/>
      <c r="IY293" s="120"/>
      <c r="IZ293" s="120"/>
      <c r="JA293" s="120"/>
      <c r="JB293" s="120"/>
      <c r="JC293" s="120"/>
      <c r="JD293" s="120"/>
      <c r="JE293" s="120"/>
      <c r="JF293" s="120"/>
      <c r="JG293" s="120"/>
      <c r="JH293" s="120"/>
      <c r="JI293" s="120"/>
      <c r="JJ293" s="120"/>
      <c r="JK293" s="120"/>
      <c r="JL293" s="120"/>
      <c r="JM293" s="120"/>
      <c r="JN293" s="120"/>
      <c r="JO293" s="120"/>
      <c r="JP293" s="120"/>
      <c r="JQ293" s="120"/>
      <c r="JR293" s="120"/>
      <c r="JS293" s="120"/>
      <c r="JT293" s="120"/>
      <c r="JU293" s="120"/>
      <c r="JV293" s="120"/>
      <c r="JW293" s="120"/>
      <c r="JX293" s="120"/>
      <c r="JY293" s="120"/>
      <c r="JZ293" s="120"/>
      <c r="KA293" s="120"/>
      <c r="KB293" s="120"/>
      <c r="KC293" s="120"/>
      <c r="KD293" s="120"/>
      <c r="KE293" s="120"/>
      <c r="KF293" s="120"/>
      <c r="KG293" s="120"/>
      <c r="KH293" s="120"/>
      <c r="KI293" s="120"/>
      <c r="KJ293" s="120"/>
      <c r="KK293" s="120"/>
      <c r="KL293" s="120"/>
      <c r="KM293" s="120"/>
      <c r="KN293" s="120"/>
      <c r="KO293" s="120"/>
      <c r="KP293" s="120"/>
      <c r="KQ293" s="120"/>
      <c r="KR293" s="120"/>
      <c r="KS293" s="120"/>
      <c r="KT293" s="120"/>
      <c r="KU293" s="120"/>
      <c r="KV293" s="120"/>
      <c r="KW293" s="120"/>
      <c r="KX293" s="120"/>
      <c r="KY293" s="120"/>
      <c r="KZ293" s="120"/>
      <c r="LA293" s="120"/>
      <c r="LB293" s="120"/>
      <c r="LC293" s="120"/>
      <c r="LD293" s="120"/>
      <c r="LE293" s="120"/>
      <c r="LF293" s="120"/>
      <c r="LG293" s="120"/>
      <c r="LH293" s="120"/>
      <c r="LI293" s="120"/>
      <c r="LJ293" s="120"/>
      <c r="LK293" s="120"/>
      <c r="LL293" s="120"/>
      <c r="LM293" s="120"/>
      <c r="LN293" s="120"/>
      <c r="LO293" s="120"/>
      <c r="LP293" s="120"/>
      <c r="LQ293" s="120"/>
      <c r="LR293" s="120"/>
      <c r="LS293" s="120"/>
      <c r="LT293" s="120"/>
      <c r="LU293" s="120"/>
      <c r="LV293" s="120"/>
      <c r="LW293" s="120"/>
      <c r="LX293" s="120"/>
      <c r="LY293" s="120"/>
      <c r="LZ293" s="120"/>
      <c r="MA293" s="120"/>
      <c r="MB293" s="120"/>
      <c r="MC293" s="120"/>
      <c r="MD293" s="120"/>
      <c r="ME293" s="120"/>
      <c r="MF293" s="120"/>
      <c r="MG293" s="120"/>
      <c r="MH293" s="120"/>
      <c r="MI293" s="120"/>
      <c r="MJ293" s="120"/>
      <c r="MK293" s="120"/>
      <c r="ML293" s="120"/>
      <c r="MM293" s="120"/>
      <c r="MN293" s="120"/>
      <c r="MO293" s="120"/>
      <c r="MP293" s="120"/>
      <c r="MQ293" s="120"/>
      <c r="MR293" s="120"/>
      <c r="MS293" s="120"/>
      <c r="MT293" s="120"/>
      <c r="MU293" s="120"/>
      <c r="MV293" s="120"/>
      <c r="MW293" s="120"/>
      <c r="MX293" s="120"/>
      <c r="MY293" s="120"/>
      <c r="MZ293" s="120"/>
      <c r="NA293" s="120"/>
      <c r="NB293" s="120"/>
      <c r="NC293" s="120"/>
      <c r="ND293" s="120"/>
      <c r="NE293" s="120"/>
      <c r="NF293" s="120"/>
      <c r="NG293" s="120"/>
      <c r="NH293" s="120"/>
      <c r="NI293" s="120"/>
      <c r="NJ293" s="120"/>
      <c r="NK293" s="120"/>
      <c r="NL293" s="120"/>
      <c r="NM293" s="120"/>
      <c r="NN293" s="120"/>
      <c r="NO293" s="120"/>
      <c r="NP293" s="120"/>
      <c r="NQ293" s="120"/>
      <c r="NR293" s="120"/>
      <c r="NS293" s="120"/>
      <c r="NT293" s="120"/>
      <c r="NU293" s="120"/>
      <c r="NV293" s="120"/>
      <c r="NW293" s="120"/>
      <c r="NX293" s="120"/>
      <c r="NY293" s="120"/>
      <c r="NZ293" s="120"/>
      <c r="OA293" s="120"/>
      <c r="OB293" s="120"/>
      <c r="OC293" s="120"/>
      <c r="OD293" s="120"/>
      <c r="OE293" s="120"/>
      <c r="OF293" s="120"/>
      <c r="OG293" s="120"/>
      <c r="OH293" s="120"/>
      <c r="OI293" s="120"/>
      <c r="OJ293" s="120"/>
      <c r="OK293" s="120"/>
      <c r="OL293" s="120"/>
      <c r="OM293" s="120"/>
      <c r="ON293" s="120"/>
      <c r="OO293" s="120"/>
      <c r="OP293" s="120"/>
      <c r="OQ293" s="120"/>
      <c r="OR293" s="120"/>
      <c r="OS293" s="120"/>
      <c r="OT293" s="120"/>
      <c r="OU293" s="120"/>
      <c r="OV293" s="120"/>
      <c r="OW293" s="120"/>
      <c r="OX293" s="120"/>
      <c r="OY293" s="120"/>
      <c r="OZ293" s="120"/>
      <c r="PA293" s="120"/>
      <c r="PB293" s="120"/>
      <c r="PC293" s="120"/>
      <c r="PD293" s="120"/>
      <c r="PE293" s="120"/>
      <c r="PF293" s="120"/>
      <c r="PG293" s="120"/>
      <c r="PH293" s="120"/>
      <c r="PI293" s="120"/>
      <c r="PJ293" s="120"/>
      <c r="PK293" s="120"/>
      <c r="PL293" s="120"/>
      <c r="PM293" s="120"/>
      <c r="PN293" s="120"/>
      <c r="PO293" s="120"/>
      <c r="PP293" s="120"/>
      <c r="PQ293" s="120"/>
      <c r="PR293" s="120"/>
      <c r="PS293" s="120"/>
      <c r="PT293" s="120"/>
      <c r="PU293" s="120"/>
      <c r="PV293" s="120"/>
      <c r="PW293" s="120"/>
      <c r="PX293" s="120"/>
      <c r="PY293" s="120"/>
      <c r="PZ293" s="120"/>
      <c r="QA293" s="120"/>
      <c r="QB293" s="120"/>
      <c r="QC293" s="120"/>
      <c r="QD293" s="120"/>
      <c r="QE293" s="120"/>
      <c r="QF293" s="120"/>
      <c r="QG293" s="120"/>
      <c r="QH293" s="120"/>
      <c r="QI293" s="120"/>
      <c r="QJ293" s="120"/>
      <c r="QK293" s="120"/>
      <c r="QL293" s="120"/>
      <c r="QM293" s="120"/>
      <c r="QN293" s="120"/>
      <c r="QO293" s="120"/>
      <c r="QP293" s="120"/>
      <c r="QQ293" s="120"/>
      <c r="QR293" s="120"/>
      <c r="QS293" s="120"/>
      <c r="QT293" s="120"/>
      <c r="QU293" s="120"/>
      <c r="QV293" s="120"/>
      <c r="QW293" s="120"/>
      <c r="QX293" s="120"/>
      <c r="QY293" s="120"/>
      <c r="QZ293" s="120"/>
      <c r="RA293" s="120"/>
      <c r="RB293" s="120"/>
      <c r="RC293" s="120"/>
      <c r="RD293" s="120"/>
      <c r="RE293" s="120"/>
      <c r="RF293" s="120"/>
      <c r="RG293" s="120"/>
      <c r="RH293" s="120"/>
      <c r="RI293" s="120"/>
      <c r="RJ293" s="120"/>
      <c r="RK293" s="120"/>
      <c r="RL293" s="120"/>
      <c r="RM293" s="120"/>
      <c r="RN293" s="120"/>
      <c r="RO293" s="120"/>
      <c r="RP293" s="120"/>
      <c r="RQ293" s="120"/>
      <c r="RR293" s="120"/>
      <c r="RS293" s="120"/>
      <c r="RT293" s="120"/>
      <c r="RU293" s="120"/>
      <c r="RV293" s="120"/>
      <c r="RW293" s="120"/>
      <c r="RX293" s="120"/>
      <c r="RY293" s="120"/>
      <c r="RZ293" s="120"/>
      <c r="SA293" s="120"/>
      <c r="SB293" s="120"/>
      <c r="SC293" s="120"/>
      <c r="SD293" s="120"/>
      <c r="SE293" s="120"/>
      <c r="SF293" s="120"/>
      <c r="SG293" s="120"/>
      <c r="SH293" s="120"/>
      <c r="SI293" s="120"/>
      <c r="SJ293" s="120"/>
      <c r="SK293" s="120"/>
      <c r="SL293" s="120"/>
      <c r="SM293" s="120"/>
      <c r="SN293" s="120"/>
      <c r="SO293" s="120"/>
      <c r="SP293" s="120"/>
      <c r="SQ293" s="120"/>
      <c r="SR293" s="120"/>
      <c r="SS293" s="120"/>
      <c r="ST293" s="120"/>
      <c r="SU293" s="120"/>
      <c r="SV293" s="120"/>
      <c r="SW293" s="120"/>
      <c r="SX293" s="120"/>
      <c r="SY293" s="120"/>
      <c r="SZ293" s="120"/>
      <c r="TA293" s="120"/>
      <c r="TB293" s="120"/>
      <c r="TC293" s="120"/>
      <c r="TD293" s="120"/>
      <c r="TE293" s="120"/>
      <c r="TF293" s="120"/>
      <c r="TG293" s="120"/>
      <c r="TH293" s="120"/>
      <c r="TI293" s="120"/>
      <c r="TJ293" s="120"/>
      <c r="TK293" s="120"/>
      <c r="TL293" s="120"/>
      <c r="TM293" s="120"/>
      <c r="TN293" s="120"/>
      <c r="TO293" s="120"/>
      <c r="TP293" s="120"/>
      <c r="TQ293" s="120"/>
      <c r="TR293" s="120"/>
      <c r="TS293" s="120"/>
      <c r="TT293" s="120"/>
      <c r="TU293" s="120"/>
      <c r="TV293" s="120"/>
      <c r="TW293" s="120"/>
      <c r="TX293" s="120"/>
      <c r="TY293" s="120"/>
      <c r="TZ293" s="120"/>
      <c r="UA293" s="120"/>
      <c r="UB293" s="120"/>
      <c r="UC293" s="120"/>
      <c r="UD293" s="120"/>
      <c r="UE293" s="120"/>
      <c r="UF293" s="120"/>
      <c r="UG293" s="120"/>
      <c r="UH293" s="120"/>
      <c r="UI293" s="120"/>
      <c r="UJ293" s="120"/>
      <c r="UK293" s="120"/>
      <c r="UL293" s="120"/>
      <c r="UM293" s="120"/>
      <c r="UN293" s="120"/>
      <c r="UO293" s="120"/>
      <c r="UP293" s="120"/>
      <c r="UQ293" s="120"/>
      <c r="UR293" s="120"/>
      <c r="US293" s="120"/>
      <c r="UT293" s="120"/>
      <c r="UU293" s="120"/>
      <c r="UV293" s="120"/>
      <c r="UW293" s="120"/>
      <c r="UX293" s="120"/>
      <c r="UY293" s="120"/>
      <c r="UZ293" s="120"/>
      <c r="VA293" s="120"/>
      <c r="VB293" s="120"/>
      <c r="VC293" s="120"/>
      <c r="VD293" s="120"/>
      <c r="VE293" s="120"/>
      <c r="VF293" s="120"/>
      <c r="VG293" s="120"/>
      <c r="VH293" s="120"/>
      <c r="VI293" s="120"/>
      <c r="VJ293" s="120"/>
      <c r="VK293" s="120"/>
      <c r="VL293" s="120"/>
      <c r="VM293" s="120"/>
      <c r="VN293" s="120"/>
      <c r="VO293" s="120"/>
      <c r="VP293" s="120"/>
      <c r="VQ293" s="120"/>
      <c r="VR293" s="120"/>
      <c r="VS293" s="120"/>
      <c r="VT293" s="120"/>
      <c r="VU293" s="120"/>
      <c r="VV293" s="120"/>
      <c r="VW293" s="120"/>
      <c r="VX293" s="120"/>
      <c r="VY293" s="120"/>
      <c r="VZ293" s="120"/>
      <c r="WA293" s="120"/>
      <c r="WB293" s="120"/>
      <c r="WC293" s="120"/>
      <c r="WD293" s="120"/>
      <c r="WE293" s="120"/>
      <c r="WF293" s="120"/>
      <c r="WG293" s="120"/>
      <c r="WH293" s="120"/>
      <c r="WI293" s="120"/>
      <c r="WJ293" s="120"/>
      <c r="WK293" s="120"/>
      <c r="WL293" s="120"/>
      <c r="WM293" s="120"/>
      <c r="WN293" s="120"/>
      <c r="WO293" s="120"/>
      <c r="WP293" s="120"/>
      <c r="WQ293" s="120"/>
      <c r="WR293" s="120"/>
      <c r="WS293" s="120"/>
      <c r="WT293" s="120"/>
      <c r="WU293" s="120"/>
      <c r="WV293" s="120"/>
      <c r="WW293" s="120"/>
      <c r="WX293" s="120"/>
      <c r="WY293" s="120"/>
      <c r="WZ293" s="120"/>
      <c r="XA293" s="120"/>
      <c r="XB293" s="120"/>
      <c r="XC293" s="120"/>
      <c r="XD293" s="120"/>
      <c r="XE293" s="120"/>
      <c r="XF293" s="120"/>
      <c r="XG293" s="120"/>
      <c r="XH293" s="120"/>
      <c r="XI293" s="120"/>
      <c r="XJ293" s="120"/>
      <c r="XK293" s="120"/>
      <c r="XL293" s="120"/>
      <c r="XM293" s="120"/>
      <c r="XN293" s="120"/>
      <c r="XO293" s="120"/>
      <c r="XP293" s="120"/>
      <c r="XQ293" s="120"/>
      <c r="XR293" s="120"/>
      <c r="XS293" s="120"/>
      <c r="XT293" s="120"/>
      <c r="XU293" s="120"/>
      <c r="XV293" s="120"/>
      <c r="XW293" s="120"/>
      <c r="XX293" s="120"/>
      <c r="XY293" s="120"/>
      <c r="XZ293" s="120"/>
      <c r="YA293" s="120"/>
      <c r="YB293" s="120"/>
      <c r="YC293" s="120"/>
      <c r="YD293" s="120"/>
      <c r="YE293" s="120"/>
      <c r="YF293" s="120"/>
      <c r="YG293" s="120"/>
      <c r="YH293" s="120"/>
      <c r="YI293" s="120"/>
      <c r="YJ293" s="120"/>
      <c r="YK293" s="120"/>
      <c r="YL293" s="120"/>
      <c r="YM293" s="120"/>
      <c r="YN293" s="120"/>
      <c r="YO293" s="120"/>
      <c r="YP293" s="120"/>
      <c r="YQ293" s="120"/>
      <c r="YR293" s="120"/>
      <c r="YS293" s="120"/>
      <c r="YT293" s="120"/>
      <c r="YU293" s="120"/>
      <c r="YV293" s="120"/>
      <c r="YW293" s="120"/>
      <c r="YX293" s="120"/>
      <c r="YY293" s="120"/>
      <c r="YZ293" s="120"/>
      <c r="ZA293" s="120"/>
      <c r="ZB293" s="120"/>
      <c r="ZC293" s="120"/>
      <c r="ZD293" s="120"/>
      <c r="ZE293" s="120"/>
      <c r="ZF293" s="120"/>
      <c r="ZG293" s="120"/>
      <c r="ZH293" s="120"/>
      <c r="ZI293" s="120"/>
      <c r="ZJ293" s="120"/>
      <c r="ZK293" s="120"/>
      <c r="ZL293" s="120"/>
      <c r="ZM293" s="120"/>
      <c r="ZN293" s="120"/>
      <c r="ZO293" s="120"/>
      <c r="ZP293" s="120"/>
      <c r="ZQ293" s="120"/>
      <c r="ZR293" s="120"/>
      <c r="ZS293" s="120"/>
      <c r="ZT293" s="120"/>
      <c r="ZU293" s="120"/>
      <c r="ZV293" s="120"/>
      <c r="ZW293" s="120"/>
      <c r="ZX293" s="120"/>
      <c r="ZY293" s="120"/>
      <c r="ZZ293" s="120"/>
      <c r="AAA293" s="120"/>
      <c r="AAB293" s="120"/>
      <c r="AAC293" s="120"/>
      <c r="AAD293" s="120"/>
      <c r="AAE293" s="120"/>
      <c r="AAF293" s="120"/>
      <c r="AAG293" s="120"/>
      <c r="AAH293" s="120"/>
      <c r="AAI293" s="120"/>
      <c r="AAJ293" s="120"/>
      <c r="AAK293" s="120"/>
      <c r="AAL293" s="120"/>
      <c r="AAM293" s="120"/>
      <c r="AAN293" s="120"/>
      <c r="AAO293" s="120"/>
      <c r="AAP293" s="120"/>
      <c r="AAQ293" s="120"/>
      <c r="AAR293" s="120"/>
      <c r="AAS293" s="120"/>
      <c r="AAT293" s="120"/>
      <c r="AAU293" s="120"/>
      <c r="AAV293" s="120"/>
      <c r="AAW293" s="120"/>
      <c r="AAX293" s="120"/>
      <c r="AAY293" s="120"/>
      <c r="AAZ293" s="120"/>
      <c r="ABA293" s="120"/>
      <c r="ABB293" s="120"/>
      <c r="ABC293" s="120"/>
      <c r="ABD293" s="120"/>
      <c r="ABE293" s="120"/>
      <c r="ABF293" s="120"/>
      <c r="ABG293" s="120"/>
      <c r="ABH293" s="120"/>
      <c r="ABI293" s="120"/>
      <c r="ABJ293" s="120"/>
      <c r="ABK293" s="120"/>
      <c r="ABL293" s="120"/>
      <c r="ABM293" s="120"/>
      <c r="ABN293" s="120"/>
      <c r="ABO293" s="120"/>
      <c r="ABP293" s="120"/>
      <c r="ABQ293" s="120"/>
      <c r="ABR293" s="120"/>
      <c r="ABS293" s="120"/>
      <c r="ABT293" s="120"/>
      <c r="ABU293" s="120"/>
      <c r="ABV293" s="120"/>
      <c r="ABW293" s="120"/>
      <c r="ABX293" s="120"/>
      <c r="ABY293" s="120"/>
      <c r="ABZ293" s="120"/>
      <c r="ACA293" s="120"/>
      <c r="ACB293" s="120"/>
      <c r="ACC293" s="120"/>
      <c r="ACD293" s="120"/>
      <c r="ACE293" s="120"/>
      <c r="ACF293" s="120"/>
      <c r="ACG293" s="120"/>
      <c r="ACH293" s="120"/>
      <c r="ACI293" s="120"/>
      <c r="ACJ293" s="120"/>
      <c r="ACK293" s="120"/>
      <c r="ACL293" s="120"/>
      <c r="ACM293" s="120"/>
      <c r="ACN293" s="120"/>
      <c r="ACO293" s="120"/>
      <c r="ACP293" s="120"/>
      <c r="ACQ293" s="120"/>
      <c r="ACR293" s="120"/>
      <c r="ACS293" s="120"/>
      <c r="ACT293" s="120"/>
      <c r="ACU293" s="120"/>
      <c r="ACV293" s="120"/>
      <c r="ACW293" s="120"/>
      <c r="ACX293" s="120"/>
      <c r="ACY293" s="120"/>
      <c r="ACZ293" s="120"/>
      <c r="ADA293" s="120"/>
      <c r="ADB293" s="120"/>
      <c r="ADC293" s="120"/>
      <c r="ADD293" s="120"/>
      <c r="ADE293" s="120"/>
      <c r="ADF293" s="120"/>
      <c r="ADG293" s="120"/>
      <c r="ADH293" s="120"/>
      <c r="ADI293" s="120"/>
      <c r="ADJ293" s="120"/>
      <c r="ADK293" s="120"/>
      <c r="ADL293" s="120"/>
      <c r="ADM293" s="120"/>
      <c r="ADN293" s="120"/>
      <c r="ADO293" s="120"/>
      <c r="ADP293" s="120"/>
      <c r="ADQ293" s="120"/>
      <c r="ADR293" s="120"/>
      <c r="ADS293" s="120"/>
      <c r="ADT293" s="120"/>
      <c r="ADU293" s="120"/>
      <c r="ADV293" s="120"/>
      <c r="ADW293" s="120"/>
      <c r="ADX293" s="120"/>
      <c r="ADY293" s="120"/>
      <c r="ADZ293" s="120"/>
      <c r="AEA293" s="120"/>
      <c r="AEB293" s="120"/>
      <c r="AEC293" s="120"/>
      <c r="AED293" s="120"/>
      <c r="AEE293" s="120"/>
      <c r="AEF293" s="120"/>
      <c r="AEG293" s="120"/>
      <c r="AEH293" s="120"/>
      <c r="AEI293" s="120"/>
      <c r="AEJ293" s="120"/>
      <c r="AEK293" s="120"/>
      <c r="AEL293" s="120"/>
      <c r="AEM293" s="120"/>
      <c r="AEN293" s="120"/>
      <c r="AEO293" s="120"/>
      <c r="AEP293" s="120"/>
      <c r="AEQ293" s="120"/>
      <c r="AER293" s="120"/>
      <c r="AES293" s="120"/>
      <c r="AET293" s="120"/>
      <c r="AEU293" s="120"/>
      <c r="AEV293" s="120"/>
      <c r="AEW293" s="120"/>
      <c r="AEX293" s="120"/>
      <c r="AEY293" s="120"/>
      <c r="AEZ293" s="120"/>
      <c r="AFA293" s="120"/>
      <c r="AFB293" s="120"/>
      <c r="AFC293" s="120"/>
      <c r="AFD293" s="120"/>
      <c r="AFE293" s="120"/>
      <c r="AFF293" s="120"/>
      <c r="AFG293" s="120"/>
      <c r="AFH293" s="120"/>
      <c r="AFI293" s="120"/>
      <c r="AFJ293" s="120"/>
      <c r="AFK293" s="120"/>
      <c r="AFL293" s="120"/>
      <c r="AFM293" s="120"/>
      <c r="AFN293" s="120"/>
      <c r="AFO293" s="120"/>
      <c r="AFP293" s="120"/>
      <c r="AFQ293" s="120"/>
      <c r="AFR293" s="120"/>
      <c r="AFS293" s="120"/>
      <c r="AFT293" s="120"/>
      <c r="AFU293" s="120"/>
      <c r="AFV293" s="120"/>
      <c r="AFW293" s="120"/>
      <c r="AFX293" s="120"/>
      <c r="AFY293" s="120"/>
      <c r="AFZ293" s="120"/>
      <c r="AGA293" s="120"/>
      <c r="AGB293" s="120"/>
      <c r="AGC293" s="120"/>
      <c r="AGD293" s="120"/>
      <c r="AGE293" s="120"/>
      <c r="AGF293" s="120"/>
      <c r="AGG293" s="120"/>
      <c r="AGH293" s="120"/>
      <c r="AGI293" s="120"/>
      <c r="AGJ293" s="120"/>
      <c r="AGK293" s="120"/>
      <c r="AGL293" s="120"/>
      <c r="AGM293" s="120"/>
      <c r="AGN293" s="120"/>
      <c r="AGO293" s="120"/>
      <c r="AGP293" s="120"/>
      <c r="AGQ293" s="120"/>
      <c r="AGR293" s="120"/>
      <c r="AGS293" s="120"/>
      <c r="AGT293" s="120"/>
      <c r="AGU293" s="120"/>
      <c r="AGV293" s="120"/>
      <c r="AGW293" s="120"/>
      <c r="AGX293" s="120"/>
      <c r="AGY293" s="120"/>
      <c r="AGZ293" s="120"/>
      <c r="AHA293" s="120"/>
      <c r="AHB293" s="120"/>
      <c r="AHC293" s="120"/>
      <c r="AHD293" s="120"/>
      <c r="AHE293" s="120"/>
      <c r="AHF293" s="120"/>
      <c r="AHG293" s="120"/>
      <c r="AHH293" s="120"/>
      <c r="AHI293" s="120"/>
      <c r="AHJ293" s="120"/>
      <c r="AHK293" s="120"/>
      <c r="AHL293" s="120"/>
      <c r="AHM293" s="120"/>
      <c r="AHN293" s="120"/>
      <c r="AHO293" s="120"/>
      <c r="AHP293" s="120"/>
      <c r="AHQ293" s="120"/>
      <c r="AHR293" s="120"/>
      <c r="AHS293" s="120"/>
      <c r="AHT293" s="120"/>
      <c r="AHU293" s="120"/>
      <c r="AHV293" s="120"/>
      <c r="AHW293" s="120"/>
      <c r="AHX293" s="120"/>
      <c r="AHY293" s="120"/>
      <c r="AHZ293" s="120"/>
      <c r="AIA293" s="120"/>
      <c r="AIB293" s="120"/>
      <c r="AIC293" s="120"/>
      <c r="AID293" s="120"/>
      <c r="AIE293" s="120"/>
      <c r="AIF293" s="120"/>
      <c r="AIG293" s="120"/>
      <c r="AIH293" s="120"/>
      <c r="AII293" s="120"/>
      <c r="AIJ293" s="120"/>
      <c r="AIK293" s="120"/>
      <c r="AIL293" s="120"/>
      <c r="AIM293" s="120"/>
      <c r="AIN293" s="120"/>
      <c r="AIO293" s="120"/>
      <c r="AIP293" s="120"/>
      <c r="AIQ293" s="120"/>
      <c r="AIR293" s="120"/>
      <c r="AIS293" s="120"/>
      <c r="AIT293" s="120"/>
      <c r="AIU293" s="120"/>
      <c r="AIV293" s="120"/>
      <c r="AIW293" s="120"/>
      <c r="AIX293" s="120"/>
      <c r="AIY293" s="120"/>
      <c r="AIZ293" s="120"/>
      <c r="AJA293" s="120"/>
      <c r="AJB293" s="120"/>
      <c r="AJC293" s="120"/>
      <c r="AJD293" s="120"/>
      <c r="AJE293" s="120"/>
      <c r="AJF293" s="120"/>
      <c r="AJG293" s="120"/>
      <c r="AJH293" s="120"/>
      <c r="AJI293" s="120"/>
      <c r="AJJ293" s="120"/>
      <c r="AJK293" s="120"/>
      <c r="AJL293" s="120"/>
      <c r="AJM293" s="120"/>
      <c r="AJN293" s="120"/>
      <c r="AJO293" s="120"/>
      <c r="AJP293" s="120"/>
      <c r="AJQ293" s="120"/>
      <c r="AJR293" s="120"/>
      <c r="AJS293" s="120"/>
      <c r="AJT293" s="120"/>
      <c r="AJU293" s="120"/>
      <c r="AJV293" s="120"/>
      <c r="AJW293" s="120"/>
      <c r="AJX293" s="120"/>
      <c r="AJY293" s="120"/>
      <c r="AJZ293" s="120"/>
      <c r="AKA293" s="120"/>
      <c r="AKB293" s="120"/>
      <c r="AKC293" s="120"/>
      <c r="AKD293" s="120"/>
      <c r="AKE293" s="120"/>
      <c r="AKF293" s="120"/>
      <c r="AKG293" s="120"/>
      <c r="AKH293" s="120"/>
      <c r="AKI293" s="120"/>
      <c r="AKJ293" s="120"/>
      <c r="AKK293" s="120"/>
      <c r="AKL293" s="120"/>
      <c r="AKM293" s="120"/>
      <c r="AKN293" s="120"/>
      <c r="AKO293" s="120"/>
      <c r="AKP293" s="120"/>
      <c r="AKQ293" s="120"/>
      <c r="AKR293" s="120"/>
      <c r="AKS293" s="120"/>
      <c r="AKT293" s="120"/>
      <c r="AKU293" s="120"/>
      <c r="AKV293" s="120"/>
      <c r="AKW293" s="120"/>
      <c r="AKX293" s="120"/>
      <c r="AKY293" s="120"/>
      <c r="AKZ293" s="120"/>
      <c r="ALA293" s="120"/>
      <c r="ALB293" s="120"/>
      <c r="ALC293" s="120"/>
      <c r="ALD293" s="120"/>
      <c r="ALE293" s="120"/>
      <c r="ALF293" s="120"/>
      <c r="ALG293" s="120"/>
      <c r="ALH293" s="120"/>
      <c r="ALI293" s="120"/>
      <c r="ALJ293" s="120"/>
      <c r="ALK293" s="120"/>
      <c r="ALL293" s="120"/>
      <c r="ALM293" s="120"/>
      <c r="ALN293" s="120"/>
      <c r="ALO293" s="120"/>
      <c r="ALP293" s="120"/>
      <c r="ALQ293" s="120"/>
      <c r="ALR293" s="120"/>
      <c r="ALS293" s="120"/>
      <c r="ALT293" s="120"/>
      <c r="ALU293" s="120"/>
      <c r="ALV293" s="120"/>
      <c r="ALW293" s="120"/>
      <c r="ALX293" s="120"/>
      <c r="ALY293" s="120"/>
      <c r="ALZ293" s="120"/>
      <c r="AMA293" s="120"/>
      <c r="AMB293" s="120"/>
      <c r="AMC293" s="120"/>
      <c r="AMD293" s="120"/>
      <c r="AME293" s="120"/>
      <c r="AMF293" s="120"/>
      <c r="AMG293" s="120"/>
      <c r="AMH293" s="120"/>
    </row>
    <row r="294" spans="1:1022" s="119" customFormat="1" x14ac:dyDescent="0.25">
      <c r="A294" s="121"/>
      <c r="B294" s="230" t="s">
        <v>147</v>
      </c>
      <c r="C294" s="231"/>
      <c r="D294" s="231"/>
      <c r="E294" s="231"/>
      <c r="F294" s="231"/>
      <c r="G294" s="174"/>
      <c r="H294" s="244" t="s">
        <v>148</v>
      </c>
      <c r="I294" s="244"/>
      <c r="J294" s="244"/>
      <c r="K294" s="244"/>
      <c r="L294" s="245"/>
      <c r="M294" s="120"/>
      <c r="N294" s="120"/>
      <c r="O294" s="120"/>
      <c r="P294" s="120"/>
      <c r="Q294" s="120"/>
      <c r="R294" s="120"/>
      <c r="S294" s="120"/>
      <c r="T294" s="120"/>
      <c r="U294" s="120"/>
      <c r="V294" s="120"/>
      <c r="W294" s="120"/>
      <c r="X294" s="120"/>
      <c r="Y294" s="120"/>
      <c r="Z294" s="120"/>
      <c r="AA294" s="120"/>
      <c r="AB294" s="120"/>
      <c r="AC294" s="120"/>
      <c r="AD294" s="120"/>
      <c r="AE294" s="120"/>
      <c r="AF294" s="120"/>
      <c r="AG294" s="120"/>
      <c r="AH294" s="120"/>
      <c r="AI294" s="120"/>
      <c r="AJ294" s="120"/>
      <c r="AK294" s="120"/>
      <c r="AL294" s="120"/>
      <c r="AM294" s="120"/>
      <c r="AN294" s="120"/>
      <c r="AO294" s="120"/>
      <c r="AP294" s="120"/>
      <c r="AQ294" s="120"/>
      <c r="AR294" s="120"/>
      <c r="AS294" s="120"/>
      <c r="AT294" s="120"/>
      <c r="AU294" s="120"/>
      <c r="AV294" s="120"/>
      <c r="AW294" s="120"/>
      <c r="AX294" s="120"/>
      <c r="AY294" s="120"/>
      <c r="AZ294" s="120"/>
      <c r="BA294" s="120"/>
      <c r="BB294" s="120"/>
      <c r="BC294" s="120"/>
      <c r="BD294" s="120"/>
      <c r="BE294" s="120"/>
      <c r="BF294" s="120"/>
      <c r="BG294" s="120"/>
      <c r="BH294" s="120"/>
      <c r="BI294" s="120"/>
      <c r="BJ294" s="120"/>
      <c r="BK294" s="120"/>
      <c r="BL294" s="120"/>
      <c r="BM294" s="120"/>
      <c r="BN294" s="120"/>
      <c r="BO294" s="120"/>
      <c r="BP294" s="120"/>
      <c r="BQ294" s="120"/>
      <c r="BR294" s="120"/>
      <c r="BS294" s="120"/>
      <c r="BT294" s="120"/>
      <c r="BU294" s="120"/>
      <c r="BV294" s="120"/>
      <c r="BW294" s="120"/>
      <c r="BX294" s="120"/>
      <c r="BY294" s="120"/>
      <c r="BZ294" s="120"/>
      <c r="CA294" s="120"/>
      <c r="CB294" s="120"/>
      <c r="CC294" s="120"/>
      <c r="CD294" s="120"/>
      <c r="CE294" s="120"/>
      <c r="CF294" s="120"/>
      <c r="CG294" s="120"/>
      <c r="CH294" s="120"/>
      <c r="CI294" s="120"/>
      <c r="CJ294" s="120"/>
      <c r="CK294" s="120"/>
      <c r="CL294" s="120"/>
      <c r="CM294" s="120"/>
      <c r="CN294" s="120"/>
      <c r="CO294" s="120"/>
      <c r="CP294" s="120"/>
      <c r="CQ294" s="120"/>
      <c r="CR294" s="120"/>
      <c r="CS294" s="120"/>
      <c r="CT294" s="120"/>
      <c r="CU294" s="120"/>
      <c r="CV294" s="120"/>
      <c r="CW294" s="120"/>
      <c r="CX294" s="120"/>
      <c r="CY294" s="120"/>
      <c r="CZ294" s="120"/>
      <c r="DA294" s="120"/>
      <c r="DB294" s="120"/>
      <c r="DC294" s="120"/>
      <c r="DD294" s="120"/>
      <c r="DE294" s="120"/>
      <c r="DF294" s="120"/>
      <c r="DG294" s="120"/>
      <c r="DH294" s="120"/>
      <c r="DI294" s="120"/>
      <c r="DJ294" s="120"/>
      <c r="DK294" s="120"/>
      <c r="DL294" s="120"/>
      <c r="DM294" s="120"/>
      <c r="DN294" s="120"/>
      <c r="DO294" s="120"/>
      <c r="DP294" s="120"/>
      <c r="DQ294" s="120"/>
      <c r="DR294" s="120"/>
      <c r="DS294" s="120"/>
      <c r="DT294" s="120"/>
      <c r="DU294" s="120"/>
      <c r="DV294" s="120"/>
      <c r="DW294" s="120"/>
      <c r="DX294" s="120"/>
      <c r="DY294" s="120"/>
      <c r="DZ294" s="120"/>
      <c r="EA294" s="120"/>
      <c r="EB294" s="120"/>
      <c r="EC294" s="120"/>
      <c r="ED294" s="120"/>
      <c r="EE294" s="120"/>
      <c r="EF294" s="120"/>
      <c r="EG294" s="120"/>
      <c r="EH294" s="120"/>
      <c r="EI294" s="120"/>
      <c r="EJ294" s="120"/>
      <c r="EK294" s="120"/>
      <c r="EL294" s="120"/>
      <c r="EM294" s="120"/>
      <c r="EN294" s="120"/>
      <c r="EO294" s="120"/>
      <c r="EP294" s="120"/>
      <c r="EQ294" s="120"/>
      <c r="ER294" s="120"/>
      <c r="ES294" s="120"/>
      <c r="ET294" s="120"/>
      <c r="EU294" s="120"/>
      <c r="EV294" s="120"/>
      <c r="EW294" s="120"/>
      <c r="EX294" s="120"/>
      <c r="EY294" s="120"/>
      <c r="EZ294" s="120"/>
      <c r="FA294" s="120"/>
      <c r="FB294" s="120"/>
      <c r="FC294" s="120"/>
      <c r="FD294" s="120"/>
      <c r="FE294" s="120"/>
      <c r="FF294" s="120"/>
      <c r="FG294" s="120"/>
      <c r="FH294" s="120"/>
      <c r="FI294" s="120"/>
      <c r="FJ294" s="120"/>
      <c r="FK294" s="120"/>
      <c r="FL294" s="120"/>
      <c r="FM294" s="120"/>
      <c r="FN294" s="120"/>
      <c r="FO294" s="120"/>
      <c r="FP294" s="120"/>
      <c r="FQ294" s="120"/>
      <c r="FR294" s="120"/>
      <c r="FS294" s="120"/>
      <c r="FT294" s="120"/>
      <c r="FU294" s="120"/>
      <c r="FV294" s="120"/>
      <c r="FW294" s="120"/>
      <c r="FX294" s="120"/>
      <c r="FY294" s="120"/>
      <c r="FZ294" s="120"/>
      <c r="GA294" s="120"/>
      <c r="GB294" s="120"/>
      <c r="GC294" s="120"/>
      <c r="GD294" s="120"/>
      <c r="GE294" s="120"/>
      <c r="GF294" s="120"/>
      <c r="GG294" s="120"/>
      <c r="GH294" s="120"/>
      <c r="GI294" s="120"/>
      <c r="GJ294" s="120"/>
      <c r="GK294" s="120"/>
      <c r="GL294" s="120"/>
      <c r="GM294" s="120"/>
      <c r="GN294" s="120"/>
      <c r="GO294" s="120"/>
      <c r="GP294" s="120"/>
      <c r="GQ294" s="120"/>
      <c r="GR294" s="120"/>
      <c r="GS294" s="120"/>
      <c r="GT294" s="120"/>
      <c r="GU294" s="120"/>
      <c r="GV294" s="120"/>
      <c r="GW294" s="120"/>
      <c r="GX294" s="120"/>
      <c r="GY294" s="120"/>
      <c r="GZ294" s="120"/>
      <c r="HA294" s="120"/>
      <c r="HB294" s="120"/>
      <c r="HC294" s="120"/>
      <c r="HD294" s="120"/>
      <c r="HE294" s="120"/>
      <c r="HF294" s="120"/>
      <c r="HG294" s="120"/>
      <c r="HH294" s="120"/>
      <c r="HI294" s="120"/>
      <c r="HJ294" s="120"/>
      <c r="HK294" s="120"/>
      <c r="HL294" s="120"/>
      <c r="HM294" s="120"/>
      <c r="HN294" s="120"/>
      <c r="HO294" s="120"/>
      <c r="HP294" s="120"/>
      <c r="HQ294" s="120"/>
      <c r="HR294" s="120"/>
      <c r="HS294" s="120"/>
      <c r="HT294" s="120"/>
      <c r="HU294" s="120"/>
      <c r="HV294" s="120"/>
      <c r="HW294" s="120"/>
      <c r="HX294" s="120"/>
      <c r="HY294" s="120"/>
      <c r="HZ294" s="120"/>
      <c r="IA294" s="120"/>
      <c r="IB294" s="120"/>
      <c r="IC294" s="120"/>
      <c r="ID294" s="120"/>
      <c r="IE294" s="120"/>
      <c r="IF294" s="120"/>
      <c r="IG294" s="120"/>
      <c r="IH294" s="120"/>
      <c r="II294" s="120"/>
      <c r="IJ294" s="120"/>
      <c r="IK294" s="120"/>
      <c r="IL294" s="120"/>
      <c r="IM294" s="120"/>
      <c r="IN294" s="120"/>
      <c r="IO294" s="120"/>
      <c r="IP294" s="120"/>
      <c r="IQ294" s="120"/>
      <c r="IR294" s="120"/>
      <c r="IS294" s="120"/>
      <c r="IT294" s="120"/>
      <c r="IU294" s="120"/>
      <c r="IV294" s="120"/>
      <c r="IW294" s="120"/>
      <c r="IX294" s="120"/>
      <c r="IY294" s="120"/>
      <c r="IZ294" s="120"/>
      <c r="JA294" s="120"/>
      <c r="JB294" s="120"/>
      <c r="JC294" s="120"/>
      <c r="JD294" s="120"/>
      <c r="JE294" s="120"/>
      <c r="JF294" s="120"/>
      <c r="JG294" s="120"/>
      <c r="JH294" s="120"/>
      <c r="JI294" s="120"/>
      <c r="JJ294" s="120"/>
      <c r="JK294" s="120"/>
      <c r="JL294" s="120"/>
      <c r="JM294" s="120"/>
      <c r="JN294" s="120"/>
      <c r="JO294" s="120"/>
      <c r="JP294" s="120"/>
      <c r="JQ294" s="120"/>
      <c r="JR294" s="120"/>
      <c r="JS294" s="120"/>
      <c r="JT294" s="120"/>
      <c r="JU294" s="120"/>
      <c r="JV294" s="120"/>
      <c r="JW294" s="120"/>
      <c r="JX294" s="120"/>
      <c r="JY294" s="120"/>
      <c r="JZ294" s="120"/>
      <c r="KA294" s="120"/>
      <c r="KB294" s="120"/>
      <c r="KC294" s="120"/>
      <c r="KD294" s="120"/>
      <c r="KE294" s="120"/>
      <c r="KF294" s="120"/>
      <c r="KG294" s="120"/>
      <c r="KH294" s="120"/>
      <c r="KI294" s="120"/>
      <c r="KJ294" s="120"/>
      <c r="KK294" s="120"/>
      <c r="KL294" s="120"/>
      <c r="KM294" s="120"/>
      <c r="KN294" s="120"/>
      <c r="KO294" s="120"/>
      <c r="KP294" s="120"/>
      <c r="KQ294" s="120"/>
      <c r="KR294" s="120"/>
      <c r="KS294" s="120"/>
      <c r="KT294" s="120"/>
      <c r="KU294" s="120"/>
      <c r="KV294" s="120"/>
      <c r="KW294" s="120"/>
      <c r="KX294" s="120"/>
      <c r="KY294" s="120"/>
      <c r="KZ294" s="120"/>
      <c r="LA294" s="120"/>
      <c r="LB294" s="120"/>
      <c r="LC294" s="120"/>
      <c r="LD294" s="120"/>
      <c r="LE294" s="120"/>
      <c r="LF294" s="120"/>
      <c r="LG294" s="120"/>
      <c r="LH294" s="120"/>
      <c r="LI294" s="120"/>
      <c r="LJ294" s="120"/>
      <c r="LK294" s="120"/>
      <c r="LL294" s="120"/>
      <c r="LM294" s="120"/>
      <c r="LN294" s="120"/>
      <c r="LO294" s="120"/>
      <c r="LP294" s="120"/>
      <c r="LQ294" s="120"/>
      <c r="LR294" s="120"/>
      <c r="LS294" s="120"/>
      <c r="LT294" s="120"/>
      <c r="LU294" s="120"/>
      <c r="LV294" s="120"/>
      <c r="LW294" s="120"/>
      <c r="LX294" s="120"/>
      <c r="LY294" s="120"/>
      <c r="LZ294" s="120"/>
      <c r="MA294" s="120"/>
      <c r="MB294" s="120"/>
      <c r="MC294" s="120"/>
      <c r="MD294" s="120"/>
      <c r="ME294" s="120"/>
      <c r="MF294" s="120"/>
      <c r="MG294" s="120"/>
      <c r="MH294" s="120"/>
      <c r="MI294" s="120"/>
      <c r="MJ294" s="120"/>
      <c r="MK294" s="120"/>
      <c r="ML294" s="120"/>
      <c r="MM294" s="120"/>
      <c r="MN294" s="120"/>
      <c r="MO294" s="120"/>
      <c r="MP294" s="120"/>
      <c r="MQ294" s="120"/>
      <c r="MR294" s="120"/>
      <c r="MS294" s="120"/>
      <c r="MT294" s="120"/>
      <c r="MU294" s="120"/>
      <c r="MV294" s="120"/>
      <c r="MW294" s="120"/>
      <c r="MX294" s="120"/>
      <c r="MY294" s="120"/>
      <c r="MZ294" s="120"/>
      <c r="NA294" s="120"/>
      <c r="NB294" s="120"/>
      <c r="NC294" s="120"/>
      <c r="ND294" s="120"/>
      <c r="NE294" s="120"/>
      <c r="NF294" s="120"/>
      <c r="NG294" s="120"/>
      <c r="NH294" s="120"/>
      <c r="NI294" s="120"/>
      <c r="NJ294" s="120"/>
      <c r="NK294" s="120"/>
      <c r="NL294" s="120"/>
      <c r="NM294" s="120"/>
      <c r="NN294" s="120"/>
      <c r="NO294" s="120"/>
      <c r="NP294" s="120"/>
      <c r="NQ294" s="120"/>
      <c r="NR294" s="120"/>
      <c r="NS294" s="120"/>
      <c r="NT294" s="120"/>
      <c r="NU294" s="120"/>
      <c r="NV294" s="120"/>
      <c r="NW294" s="120"/>
      <c r="NX294" s="120"/>
      <c r="NY294" s="120"/>
      <c r="NZ294" s="120"/>
      <c r="OA294" s="120"/>
      <c r="OB294" s="120"/>
      <c r="OC294" s="120"/>
      <c r="OD294" s="120"/>
      <c r="OE294" s="120"/>
      <c r="OF294" s="120"/>
      <c r="OG294" s="120"/>
      <c r="OH294" s="120"/>
      <c r="OI294" s="120"/>
      <c r="OJ294" s="120"/>
      <c r="OK294" s="120"/>
      <c r="OL294" s="120"/>
      <c r="OM294" s="120"/>
      <c r="ON294" s="120"/>
      <c r="OO294" s="120"/>
      <c r="OP294" s="120"/>
      <c r="OQ294" s="120"/>
      <c r="OR294" s="120"/>
      <c r="OS294" s="120"/>
      <c r="OT294" s="120"/>
      <c r="OU294" s="120"/>
      <c r="OV294" s="120"/>
      <c r="OW294" s="120"/>
      <c r="OX294" s="120"/>
      <c r="OY294" s="120"/>
      <c r="OZ294" s="120"/>
      <c r="PA294" s="120"/>
      <c r="PB294" s="120"/>
      <c r="PC294" s="120"/>
      <c r="PD294" s="120"/>
      <c r="PE294" s="120"/>
      <c r="PF294" s="120"/>
      <c r="PG294" s="120"/>
      <c r="PH294" s="120"/>
      <c r="PI294" s="120"/>
      <c r="PJ294" s="120"/>
      <c r="PK294" s="120"/>
      <c r="PL294" s="120"/>
      <c r="PM294" s="120"/>
      <c r="PN294" s="120"/>
      <c r="PO294" s="120"/>
      <c r="PP294" s="120"/>
      <c r="PQ294" s="120"/>
      <c r="PR294" s="120"/>
      <c r="PS294" s="120"/>
      <c r="PT294" s="120"/>
      <c r="PU294" s="120"/>
      <c r="PV294" s="120"/>
      <c r="PW294" s="120"/>
      <c r="PX294" s="120"/>
      <c r="PY294" s="120"/>
      <c r="PZ294" s="120"/>
      <c r="QA294" s="120"/>
      <c r="QB294" s="120"/>
      <c r="QC294" s="120"/>
      <c r="QD294" s="120"/>
      <c r="QE294" s="120"/>
      <c r="QF294" s="120"/>
      <c r="QG294" s="120"/>
      <c r="QH294" s="120"/>
      <c r="QI294" s="120"/>
      <c r="QJ294" s="120"/>
      <c r="QK294" s="120"/>
      <c r="QL294" s="120"/>
      <c r="QM294" s="120"/>
      <c r="QN294" s="120"/>
      <c r="QO294" s="120"/>
      <c r="QP294" s="120"/>
      <c r="QQ294" s="120"/>
      <c r="QR294" s="120"/>
      <c r="QS294" s="120"/>
      <c r="QT294" s="120"/>
      <c r="QU294" s="120"/>
      <c r="QV294" s="120"/>
      <c r="QW294" s="120"/>
      <c r="QX294" s="120"/>
      <c r="QY294" s="120"/>
      <c r="QZ294" s="120"/>
      <c r="RA294" s="120"/>
      <c r="RB294" s="120"/>
      <c r="RC294" s="120"/>
      <c r="RD294" s="120"/>
      <c r="RE294" s="120"/>
      <c r="RF294" s="120"/>
      <c r="RG294" s="120"/>
      <c r="RH294" s="120"/>
      <c r="RI294" s="120"/>
      <c r="RJ294" s="120"/>
      <c r="RK294" s="120"/>
      <c r="RL294" s="120"/>
      <c r="RM294" s="120"/>
      <c r="RN294" s="120"/>
      <c r="RO294" s="120"/>
      <c r="RP294" s="120"/>
      <c r="RQ294" s="120"/>
      <c r="RR294" s="120"/>
      <c r="RS294" s="120"/>
      <c r="RT294" s="120"/>
      <c r="RU294" s="120"/>
      <c r="RV294" s="120"/>
      <c r="RW294" s="120"/>
      <c r="RX294" s="120"/>
      <c r="RY294" s="120"/>
      <c r="RZ294" s="120"/>
      <c r="SA294" s="120"/>
      <c r="SB294" s="120"/>
      <c r="SC294" s="120"/>
      <c r="SD294" s="120"/>
      <c r="SE294" s="120"/>
      <c r="SF294" s="120"/>
      <c r="SG294" s="120"/>
      <c r="SH294" s="120"/>
      <c r="SI294" s="120"/>
      <c r="SJ294" s="120"/>
      <c r="SK294" s="120"/>
      <c r="SL294" s="120"/>
      <c r="SM294" s="120"/>
      <c r="SN294" s="120"/>
      <c r="SO294" s="120"/>
      <c r="SP294" s="120"/>
      <c r="SQ294" s="120"/>
      <c r="SR294" s="120"/>
      <c r="SS294" s="120"/>
      <c r="ST294" s="120"/>
      <c r="SU294" s="120"/>
      <c r="SV294" s="120"/>
      <c r="SW294" s="120"/>
      <c r="SX294" s="120"/>
      <c r="SY294" s="120"/>
      <c r="SZ294" s="120"/>
      <c r="TA294" s="120"/>
      <c r="TB294" s="120"/>
      <c r="TC294" s="120"/>
      <c r="TD294" s="120"/>
      <c r="TE294" s="120"/>
      <c r="TF294" s="120"/>
      <c r="TG294" s="120"/>
      <c r="TH294" s="120"/>
      <c r="TI294" s="120"/>
      <c r="TJ294" s="120"/>
      <c r="TK294" s="120"/>
      <c r="TL294" s="120"/>
      <c r="TM294" s="120"/>
      <c r="TN294" s="120"/>
      <c r="TO294" s="120"/>
      <c r="TP294" s="120"/>
      <c r="TQ294" s="120"/>
      <c r="TR294" s="120"/>
      <c r="TS294" s="120"/>
      <c r="TT294" s="120"/>
      <c r="TU294" s="120"/>
      <c r="TV294" s="120"/>
      <c r="TW294" s="120"/>
      <c r="TX294" s="120"/>
      <c r="TY294" s="120"/>
      <c r="TZ294" s="120"/>
      <c r="UA294" s="120"/>
      <c r="UB294" s="120"/>
      <c r="UC294" s="120"/>
      <c r="UD294" s="120"/>
      <c r="UE294" s="120"/>
      <c r="UF294" s="120"/>
      <c r="UG294" s="120"/>
      <c r="UH294" s="120"/>
      <c r="UI294" s="120"/>
      <c r="UJ294" s="120"/>
      <c r="UK294" s="120"/>
      <c r="UL294" s="120"/>
      <c r="UM294" s="120"/>
      <c r="UN294" s="120"/>
      <c r="UO294" s="120"/>
      <c r="UP294" s="120"/>
      <c r="UQ294" s="120"/>
      <c r="UR294" s="120"/>
      <c r="US294" s="120"/>
      <c r="UT294" s="120"/>
      <c r="UU294" s="120"/>
      <c r="UV294" s="120"/>
      <c r="UW294" s="120"/>
      <c r="UX294" s="120"/>
      <c r="UY294" s="120"/>
      <c r="UZ294" s="120"/>
      <c r="VA294" s="120"/>
      <c r="VB294" s="120"/>
      <c r="VC294" s="120"/>
      <c r="VD294" s="120"/>
      <c r="VE294" s="120"/>
      <c r="VF294" s="120"/>
      <c r="VG294" s="120"/>
      <c r="VH294" s="120"/>
      <c r="VI294" s="120"/>
      <c r="VJ294" s="120"/>
      <c r="VK294" s="120"/>
      <c r="VL294" s="120"/>
      <c r="VM294" s="120"/>
      <c r="VN294" s="120"/>
      <c r="VO294" s="120"/>
      <c r="VP294" s="120"/>
      <c r="VQ294" s="120"/>
      <c r="VR294" s="120"/>
      <c r="VS294" s="120"/>
      <c r="VT294" s="120"/>
      <c r="VU294" s="120"/>
      <c r="VV294" s="120"/>
      <c r="VW294" s="120"/>
      <c r="VX294" s="120"/>
      <c r="VY294" s="120"/>
      <c r="VZ294" s="120"/>
      <c r="WA294" s="120"/>
      <c r="WB294" s="120"/>
      <c r="WC294" s="120"/>
      <c r="WD294" s="120"/>
      <c r="WE294" s="120"/>
      <c r="WF294" s="120"/>
      <c r="WG294" s="120"/>
      <c r="WH294" s="120"/>
      <c r="WI294" s="120"/>
      <c r="WJ294" s="120"/>
      <c r="WK294" s="120"/>
      <c r="WL294" s="120"/>
      <c r="WM294" s="120"/>
      <c r="WN294" s="120"/>
      <c r="WO294" s="120"/>
      <c r="WP294" s="120"/>
      <c r="WQ294" s="120"/>
      <c r="WR294" s="120"/>
      <c r="WS294" s="120"/>
      <c r="WT294" s="120"/>
      <c r="WU294" s="120"/>
      <c r="WV294" s="120"/>
      <c r="WW294" s="120"/>
      <c r="WX294" s="120"/>
      <c r="WY294" s="120"/>
      <c r="WZ294" s="120"/>
      <c r="XA294" s="120"/>
      <c r="XB294" s="120"/>
      <c r="XC294" s="120"/>
      <c r="XD294" s="120"/>
      <c r="XE294" s="120"/>
      <c r="XF294" s="120"/>
      <c r="XG294" s="120"/>
      <c r="XH294" s="120"/>
      <c r="XI294" s="120"/>
      <c r="XJ294" s="120"/>
      <c r="XK294" s="120"/>
      <c r="XL294" s="120"/>
      <c r="XM294" s="120"/>
      <c r="XN294" s="120"/>
      <c r="XO294" s="120"/>
      <c r="XP294" s="120"/>
      <c r="XQ294" s="120"/>
      <c r="XR294" s="120"/>
      <c r="XS294" s="120"/>
      <c r="XT294" s="120"/>
      <c r="XU294" s="120"/>
      <c r="XV294" s="120"/>
      <c r="XW294" s="120"/>
      <c r="XX294" s="120"/>
      <c r="XY294" s="120"/>
      <c r="XZ294" s="120"/>
      <c r="YA294" s="120"/>
      <c r="YB294" s="120"/>
      <c r="YC294" s="120"/>
      <c r="YD294" s="120"/>
      <c r="YE294" s="120"/>
      <c r="YF294" s="120"/>
      <c r="YG294" s="120"/>
      <c r="YH294" s="120"/>
      <c r="YI294" s="120"/>
      <c r="YJ294" s="120"/>
      <c r="YK294" s="120"/>
      <c r="YL294" s="120"/>
      <c r="YM294" s="120"/>
      <c r="YN294" s="120"/>
      <c r="YO294" s="120"/>
      <c r="YP294" s="120"/>
      <c r="YQ294" s="120"/>
      <c r="YR294" s="120"/>
      <c r="YS294" s="120"/>
      <c r="YT294" s="120"/>
      <c r="YU294" s="120"/>
      <c r="YV294" s="120"/>
      <c r="YW294" s="120"/>
      <c r="YX294" s="120"/>
      <c r="YY294" s="120"/>
      <c r="YZ294" s="120"/>
      <c r="ZA294" s="120"/>
      <c r="ZB294" s="120"/>
      <c r="ZC294" s="120"/>
      <c r="ZD294" s="120"/>
      <c r="ZE294" s="120"/>
      <c r="ZF294" s="120"/>
      <c r="ZG294" s="120"/>
      <c r="ZH294" s="120"/>
      <c r="ZI294" s="120"/>
      <c r="ZJ294" s="120"/>
      <c r="ZK294" s="120"/>
      <c r="ZL294" s="120"/>
      <c r="ZM294" s="120"/>
      <c r="ZN294" s="120"/>
      <c r="ZO294" s="120"/>
      <c r="ZP294" s="120"/>
      <c r="ZQ294" s="120"/>
      <c r="ZR294" s="120"/>
      <c r="ZS294" s="120"/>
      <c r="ZT294" s="120"/>
      <c r="ZU294" s="120"/>
      <c r="ZV294" s="120"/>
      <c r="ZW294" s="120"/>
      <c r="ZX294" s="120"/>
      <c r="ZY294" s="120"/>
      <c r="ZZ294" s="120"/>
      <c r="AAA294" s="120"/>
      <c r="AAB294" s="120"/>
      <c r="AAC294" s="120"/>
      <c r="AAD294" s="120"/>
      <c r="AAE294" s="120"/>
      <c r="AAF294" s="120"/>
      <c r="AAG294" s="120"/>
      <c r="AAH294" s="120"/>
      <c r="AAI294" s="120"/>
      <c r="AAJ294" s="120"/>
      <c r="AAK294" s="120"/>
      <c r="AAL294" s="120"/>
      <c r="AAM294" s="120"/>
      <c r="AAN294" s="120"/>
      <c r="AAO294" s="120"/>
      <c r="AAP294" s="120"/>
      <c r="AAQ294" s="120"/>
      <c r="AAR294" s="120"/>
      <c r="AAS294" s="120"/>
      <c r="AAT294" s="120"/>
      <c r="AAU294" s="120"/>
      <c r="AAV294" s="120"/>
      <c r="AAW294" s="120"/>
      <c r="AAX294" s="120"/>
      <c r="AAY294" s="120"/>
      <c r="AAZ294" s="120"/>
      <c r="ABA294" s="120"/>
      <c r="ABB294" s="120"/>
      <c r="ABC294" s="120"/>
      <c r="ABD294" s="120"/>
      <c r="ABE294" s="120"/>
      <c r="ABF294" s="120"/>
      <c r="ABG294" s="120"/>
      <c r="ABH294" s="120"/>
      <c r="ABI294" s="120"/>
      <c r="ABJ294" s="120"/>
      <c r="ABK294" s="120"/>
      <c r="ABL294" s="120"/>
      <c r="ABM294" s="120"/>
      <c r="ABN294" s="120"/>
      <c r="ABO294" s="120"/>
      <c r="ABP294" s="120"/>
      <c r="ABQ294" s="120"/>
      <c r="ABR294" s="120"/>
      <c r="ABS294" s="120"/>
      <c r="ABT294" s="120"/>
      <c r="ABU294" s="120"/>
      <c r="ABV294" s="120"/>
      <c r="ABW294" s="120"/>
      <c r="ABX294" s="120"/>
      <c r="ABY294" s="120"/>
      <c r="ABZ294" s="120"/>
      <c r="ACA294" s="120"/>
      <c r="ACB294" s="120"/>
      <c r="ACC294" s="120"/>
      <c r="ACD294" s="120"/>
      <c r="ACE294" s="120"/>
      <c r="ACF294" s="120"/>
      <c r="ACG294" s="120"/>
      <c r="ACH294" s="120"/>
      <c r="ACI294" s="120"/>
      <c r="ACJ294" s="120"/>
      <c r="ACK294" s="120"/>
      <c r="ACL294" s="120"/>
      <c r="ACM294" s="120"/>
      <c r="ACN294" s="120"/>
      <c r="ACO294" s="120"/>
      <c r="ACP294" s="120"/>
      <c r="ACQ294" s="120"/>
      <c r="ACR294" s="120"/>
      <c r="ACS294" s="120"/>
      <c r="ACT294" s="120"/>
      <c r="ACU294" s="120"/>
      <c r="ACV294" s="120"/>
      <c r="ACW294" s="120"/>
      <c r="ACX294" s="120"/>
      <c r="ACY294" s="120"/>
      <c r="ACZ294" s="120"/>
      <c r="ADA294" s="120"/>
      <c r="ADB294" s="120"/>
      <c r="ADC294" s="120"/>
      <c r="ADD294" s="120"/>
      <c r="ADE294" s="120"/>
      <c r="ADF294" s="120"/>
      <c r="ADG294" s="120"/>
      <c r="ADH294" s="120"/>
      <c r="ADI294" s="120"/>
      <c r="ADJ294" s="120"/>
      <c r="ADK294" s="120"/>
      <c r="ADL294" s="120"/>
      <c r="ADM294" s="120"/>
      <c r="ADN294" s="120"/>
      <c r="ADO294" s="120"/>
      <c r="ADP294" s="120"/>
      <c r="ADQ294" s="120"/>
      <c r="ADR294" s="120"/>
      <c r="ADS294" s="120"/>
      <c r="ADT294" s="120"/>
      <c r="ADU294" s="120"/>
      <c r="ADV294" s="120"/>
      <c r="ADW294" s="120"/>
      <c r="ADX294" s="120"/>
      <c r="ADY294" s="120"/>
      <c r="ADZ294" s="120"/>
      <c r="AEA294" s="120"/>
      <c r="AEB294" s="120"/>
      <c r="AEC294" s="120"/>
      <c r="AED294" s="120"/>
      <c r="AEE294" s="120"/>
      <c r="AEF294" s="120"/>
      <c r="AEG294" s="120"/>
      <c r="AEH294" s="120"/>
      <c r="AEI294" s="120"/>
      <c r="AEJ294" s="120"/>
      <c r="AEK294" s="120"/>
      <c r="AEL294" s="120"/>
      <c r="AEM294" s="120"/>
      <c r="AEN294" s="120"/>
      <c r="AEO294" s="120"/>
      <c r="AEP294" s="120"/>
      <c r="AEQ294" s="120"/>
      <c r="AER294" s="120"/>
      <c r="AES294" s="120"/>
      <c r="AET294" s="120"/>
      <c r="AEU294" s="120"/>
      <c r="AEV294" s="120"/>
      <c r="AEW294" s="120"/>
      <c r="AEX294" s="120"/>
      <c r="AEY294" s="120"/>
      <c r="AEZ294" s="120"/>
      <c r="AFA294" s="120"/>
      <c r="AFB294" s="120"/>
      <c r="AFC294" s="120"/>
      <c r="AFD294" s="120"/>
      <c r="AFE294" s="120"/>
      <c r="AFF294" s="120"/>
      <c r="AFG294" s="120"/>
      <c r="AFH294" s="120"/>
      <c r="AFI294" s="120"/>
      <c r="AFJ294" s="120"/>
      <c r="AFK294" s="120"/>
      <c r="AFL294" s="120"/>
      <c r="AFM294" s="120"/>
      <c r="AFN294" s="120"/>
      <c r="AFO294" s="120"/>
      <c r="AFP294" s="120"/>
      <c r="AFQ294" s="120"/>
      <c r="AFR294" s="120"/>
      <c r="AFS294" s="120"/>
      <c r="AFT294" s="120"/>
      <c r="AFU294" s="120"/>
      <c r="AFV294" s="120"/>
      <c r="AFW294" s="120"/>
      <c r="AFX294" s="120"/>
      <c r="AFY294" s="120"/>
      <c r="AFZ294" s="120"/>
      <c r="AGA294" s="120"/>
      <c r="AGB294" s="120"/>
      <c r="AGC294" s="120"/>
      <c r="AGD294" s="120"/>
      <c r="AGE294" s="120"/>
      <c r="AGF294" s="120"/>
      <c r="AGG294" s="120"/>
      <c r="AGH294" s="120"/>
      <c r="AGI294" s="120"/>
      <c r="AGJ294" s="120"/>
      <c r="AGK294" s="120"/>
      <c r="AGL294" s="120"/>
      <c r="AGM294" s="120"/>
      <c r="AGN294" s="120"/>
      <c r="AGO294" s="120"/>
      <c r="AGP294" s="120"/>
      <c r="AGQ294" s="120"/>
      <c r="AGR294" s="120"/>
      <c r="AGS294" s="120"/>
      <c r="AGT294" s="120"/>
      <c r="AGU294" s="120"/>
      <c r="AGV294" s="120"/>
      <c r="AGW294" s="120"/>
      <c r="AGX294" s="120"/>
      <c r="AGY294" s="120"/>
      <c r="AGZ294" s="120"/>
      <c r="AHA294" s="120"/>
      <c r="AHB294" s="120"/>
      <c r="AHC294" s="120"/>
      <c r="AHD294" s="120"/>
      <c r="AHE294" s="120"/>
      <c r="AHF294" s="120"/>
      <c r="AHG294" s="120"/>
      <c r="AHH294" s="120"/>
      <c r="AHI294" s="120"/>
      <c r="AHJ294" s="120"/>
      <c r="AHK294" s="120"/>
      <c r="AHL294" s="120"/>
      <c r="AHM294" s="120"/>
      <c r="AHN294" s="120"/>
      <c r="AHO294" s="120"/>
      <c r="AHP294" s="120"/>
      <c r="AHQ294" s="120"/>
      <c r="AHR294" s="120"/>
      <c r="AHS294" s="120"/>
      <c r="AHT294" s="120"/>
      <c r="AHU294" s="120"/>
      <c r="AHV294" s="120"/>
      <c r="AHW294" s="120"/>
      <c r="AHX294" s="120"/>
      <c r="AHY294" s="120"/>
      <c r="AHZ294" s="120"/>
      <c r="AIA294" s="120"/>
      <c r="AIB294" s="120"/>
      <c r="AIC294" s="120"/>
      <c r="AID294" s="120"/>
      <c r="AIE294" s="120"/>
      <c r="AIF294" s="120"/>
      <c r="AIG294" s="120"/>
      <c r="AIH294" s="120"/>
      <c r="AII294" s="120"/>
      <c r="AIJ294" s="120"/>
      <c r="AIK294" s="120"/>
      <c r="AIL294" s="120"/>
      <c r="AIM294" s="120"/>
      <c r="AIN294" s="120"/>
      <c r="AIO294" s="120"/>
      <c r="AIP294" s="120"/>
      <c r="AIQ294" s="120"/>
      <c r="AIR294" s="120"/>
      <c r="AIS294" s="120"/>
      <c r="AIT294" s="120"/>
      <c r="AIU294" s="120"/>
      <c r="AIV294" s="120"/>
      <c r="AIW294" s="120"/>
      <c r="AIX294" s="120"/>
      <c r="AIY294" s="120"/>
      <c r="AIZ294" s="120"/>
      <c r="AJA294" s="120"/>
      <c r="AJB294" s="120"/>
      <c r="AJC294" s="120"/>
      <c r="AJD294" s="120"/>
      <c r="AJE294" s="120"/>
      <c r="AJF294" s="120"/>
      <c r="AJG294" s="120"/>
      <c r="AJH294" s="120"/>
      <c r="AJI294" s="120"/>
      <c r="AJJ294" s="120"/>
      <c r="AJK294" s="120"/>
      <c r="AJL294" s="120"/>
      <c r="AJM294" s="120"/>
      <c r="AJN294" s="120"/>
      <c r="AJO294" s="120"/>
      <c r="AJP294" s="120"/>
      <c r="AJQ294" s="120"/>
      <c r="AJR294" s="120"/>
      <c r="AJS294" s="120"/>
      <c r="AJT294" s="120"/>
      <c r="AJU294" s="120"/>
      <c r="AJV294" s="120"/>
      <c r="AJW294" s="120"/>
      <c r="AJX294" s="120"/>
      <c r="AJY294" s="120"/>
      <c r="AJZ294" s="120"/>
      <c r="AKA294" s="120"/>
      <c r="AKB294" s="120"/>
      <c r="AKC294" s="120"/>
      <c r="AKD294" s="120"/>
      <c r="AKE294" s="120"/>
      <c r="AKF294" s="120"/>
      <c r="AKG294" s="120"/>
      <c r="AKH294" s="120"/>
      <c r="AKI294" s="120"/>
      <c r="AKJ294" s="120"/>
      <c r="AKK294" s="120"/>
      <c r="AKL294" s="120"/>
      <c r="AKM294" s="120"/>
      <c r="AKN294" s="120"/>
      <c r="AKO294" s="120"/>
      <c r="AKP294" s="120"/>
      <c r="AKQ294" s="120"/>
      <c r="AKR294" s="120"/>
      <c r="AKS294" s="120"/>
      <c r="AKT294" s="120"/>
      <c r="AKU294" s="120"/>
      <c r="AKV294" s="120"/>
      <c r="AKW294" s="120"/>
      <c r="AKX294" s="120"/>
      <c r="AKY294" s="120"/>
      <c r="AKZ294" s="120"/>
      <c r="ALA294" s="120"/>
      <c r="ALB294" s="120"/>
      <c r="ALC294" s="120"/>
      <c r="ALD294" s="120"/>
      <c r="ALE294" s="120"/>
      <c r="ALF294" s="120"/>
      <c r="ALG294" s="120"/>
      <c r="ALH294" s="120"/>
      <c r="ALI294" s="120"/>
      <c r="ALJ294" s="120"/>
      <c r="ALK294" s="120"/>
      <c r="ALL294" s="120"/>
      <c r="ALM294" s="120"/>
      <c r="ALN294" s="120"/>
      <c r="ALO294" s="120"/>
      <c r="ALP294" s="120"/>
      <c r="ALQ294" s="120"/>
      <c r="ALR294" s="120"/>
      <c r="ALS294" s="120"/>
      <c r="ALT294" s="120"/>
      <c r="ALU294" s="120"/>
      <c r="ALV294" s="120"/>
      <c r="ALW294" s="120"/>
      <c r="ALX294" s="120"/>
      <c r="ALY294" s="120"/>
      <c r="ALZ294" s="120"/>
      <c r="AMA294" s="120"/>
      <c r="AMB294" s="120"/>
      <c r="AMC294" s="120"/>
      <c r="AMD294" s="120"/>
      <c r="AME294" s="120"/>
      <c r="AMF294" s="120"/>
      <c r="AMG294" s="120"/>
      <c r="AMH294" s="120"/>
    </row>
    <row r="295" spans="1:1022" s="119" customFormat="1" x14ac:dyDescent="0.25">
      <c r="A295" s="121"/>
      <c r="B295" s="230" t="s">
        <v>263</v>
      </c>
      <c r="C295" s="231"/>
      <c r="D295" s="231"/>
      <c r="E295" s="231"/>
      <c r="F295" s="231"/>
      <c r="G295" s="174"/>
      <c r="H295" s="244" t="s">
        <v>148</v>
      </c>
      <c r="I295" s="244"/>
      <c r="J295" s="244"/>
      <c r="K295" s="244"/>
      <c r="L295" s="245"/>
      <c r="M295" s="120"/>
      <c r="N295" s="120"/>
      <c r="O295" s="120"/>
      <c r="P295" s="120"/>
      <c r="Q295" s="120"/>
      <c r="R295" s="120"/>
      <c r="S295" s="120"/>
      <c r="T295" s="120"/>
      <c r="U295" s="120"/>
      <c r="V295" s="120"/>
      <c r="W295" s="120"/>
      <c r="X295" s="120"/>
      <c r="Y295" s="120"/>
      <c r="Z295" s="120"/>
      <c r="AA295" s="120"/>
      <c r="AB295" s="120"/>
      <c r="AC295" s="120"/>
      <c r="AD295" s="120"/>
      <c r="AE295" s="120"/>
      <c r="AF295" s="120"/>
      <c r="AG295" s="120"/>
      <c r="AH295" s="120"/>
      <c r="AI295" s="120"/>
      <c r="AJ295" s="120"/>
      <c r="AK295" s="120"/>
      <c r="AL295" s="120"/>
      <c r="AM295" s="120"/>
      <c r="AN295" s="120"/>
      <c r="AO295" s="120"/>
      <c r="AP295" s="120"/>
      <c r="AQ295" s="120"/>
      <c r="AR295" s="120"/>
      <c r="AS295" s="120"/>
      <c r="AT295" s="120"/>
      <c r="AU295" s="120"/>
      <c r="AV295" s="120"/>
      <c r="AW295" s="120"/>
      <c r="AX295" s="120"/>
      <c r="AY295" s="120"/>
      <c r="AZ295" s="120"/>
      <c r="BA295" s="120"/>
      <c r="BB295" s="120"/>
      <c r="BC295" s="120"/>
      <c r="BD295" s="120"/>
      <c r="BE295" s="120"/>
      <c r="BF295" s="120"/>
      <c r="BG295" s="120"/>
      <c r="BH295" s="120"/>
      <c r="BI295" s="120"/>
      <c r="BJ295" s="120"/>
      <c r="BK295" s="120"/>
      <c r="BL295" s="120"/>
      <c r="BM295" s="120"/>
      <c r="BN295" s="120"/>
      <c r="BO295" s="120"/>
      <c r="BP295" s="120"/>
      <c r="BQ295" s="120"/>
      <c r="BR295" s="120"/>
      <c r="BS295" s="120"/>
      <c r="BT295" s="120"/>
      <c r="BU295" s="120"/>
      <c r="BV295" s="120"/>
      <c r="BW295" s="120"/>
      <c r="BX295" s="120"/>
      <c r="BY295" s="120"/>
      <c r="BZ295" s="120"/>
      <c r="CA295" s="120"/>
      <c r="CB295" s="120"/>
      <c r="CC295" s="120"/>
      <c r="CD295" s="120"/>
      <c r="CE295" s="120"/>
      <c r="CF295" s="120"/>
      <c r="CG295" s="120"/>
      <c r="CH295" s="120"/>
      <c r="CI295" s="120"/>
      <c r="CJ295" s="120"/>
      <c r="CK295" s="120"/>
      <c r="CL295" s="120"/>
      <c r="CM295" s="120"/>
      <c r="CN295" s="120"/>
      <c r="CO295" s="120"/>
      <c r="CP295" s="120"/>
      <c r="CQ295" s="120"/>
      <c r="CR295" s="120"/>
      <c r="CS295" s="120"/>
      <c r="CT295" s="120"/>
      <c r="CU295" s="120"/>
      <c r="CV295" s="120"/>
      <c r="CW295" s="120"/>
      <c r="CX295" s="120"/>
      <c r="CY295" s="120"/>
      <c r="CZ295" s="120"/>
      <c r="DA295" s="120"/>
      <c r="DB295" s="120"/>
      <c r="DC295" s="120"/>
      <c r="DD295" s="120"/>
      <c r="DE295" s="120"/>
      <c r="DF295" s="120"/>
      <c r="DG295" s="120"/>
      <c r="DH295" s="120"/>
      <c r="DI295" s="120"/>
      <c r="DJ295" s="120"/>
      <c r="DK295" s="120"/>
      <c r="DL295" s="120"/>
      <c r="DM295" s="120"/>
      <c r="DN295" s="120"/>
      <c r="DO295" s="120"/>
      <c r="DP295" s="120"/>
      <c r="DQ295" s="120"/>
      <c r="DR295" s="120"/>
      <c r="DS295" s="120"/>
      <c r="DT295" s="120"/>
      <c r="DU295" s="120"/>
      <c r="DV295" s="120"/>
      <c r="DW295" s="120"/>
      <c r="DX295" s="120"/>
      <c r="DY295" s="120"/>
      <c r="DZ295" s="120"/>
      <c r="EA295" s="120"/>
      <c r="EB295" s="120"/>
      <c r="EC295" s="120"/>
      <c r="ED295" s="120"/>
      <c r="EE295" s="120"/>
      <c r="EF295" s="120"/>
      <c r="EG295" s="120"/>
      <c r="EH295" s="120"/>
      <c r="EI295" s="120"/>
      <c r="EJ295" s="120"/>
      <c r="EK295" s="120"/>
      <c r="EL295" s="120"/>
      <c r="EM295" s="120"/>
      <c r="EN295" s="120"/>
      <c r="EO295" s="120"/>
      <c r="EP295" s="120"/>
      <c r="EQ295" s="120"/>
      <c r="ER295" s="120"/>
      <c r="ES295" s="120"/>
      <c r="ET295" s="120"/>
      <c r="EU295" s="120"/>
      <c r="EV295" s="120"/>
      <c r="EW295" s="120"/>
      <c r="EX295" s="120"/>
      <c r="EY295" s="120"/>
      <c r="EZ295" s="120"/>
      <c r="FA295" s="120"/>
      <c r="FB295" s="120"/>
      <c r="FC295" s="120"/>
      <c r="FD295" s="120"/>
      <c r="FE295" s="120"/>
      <c r="FF295" s="120"/>
      <c r="FG295" s="120"/>
      <c r="FH295" s="120"/>
      <c r="FI295" s="120"/>
      <c r="FJ295" s="120"/>
      <c r="FK295" s="120"/>
      <c r="FL295" s="120"/>
      <c r="FM295" s="120"/>
      <c r="FN295" s="120"/>
      <c r="FO295" s="120"/>
      <c r="FP295" s="120"/>
      <c r="FQ295" s="120"/>
      <c r="FR295" s="120"/>
      <c r="FS295" s="120"/>
      <c r="FT295" s="120"/>
      <c r="FU295" s="120"/>
      <c r="FV295" s="120"/>
      <c r="FW295" s="120"/>
      <c r="FX295" s="120"/>
      <c r="FY295" s="120"/>
      <c r="FZ295" s="120"/>
      <c r="GA295" s="120"/>
      <c r="GB295" s="120"/>
      <c r="GC295" s="120"/>
      <c r="GD295" s="120"/>
      <c r="GE295" s="120"/>
      <c r="GF295" s="120"/>
      <c r="GG295" s="120"/>
      <c r="GH295" s="120"/>
      <c r="GI295" s="120"/>
      <c r="GJ295" s="120"/>
      <c r="GK295" s="120"/>
      <c r="GL295" s="120"/>
      <c r="GM295" s="120"/>
      <c r="GN295" s="120"/>
      <c r="GO295" s="120"/>
      <c r="GP295" s="120"/>
      <c r="GQ295" s="120"/>
      <c r="GR295" s="120"/>
      <c r="GS295" s="120"/>
      <c r="GT295" s="120"/>
      <c r="GU295" s="120"/>
      <c r="GV295" s="120"/>
      <c r="GW295" s="120"/>
      <c r="GX295" s="120"/>
      <c r="GY295" s="120"/>
      <c r="GZ295" s="120"/>
      <c r="HA295" s="120"/>
      <c r="HB295" s="120"/>
      <c r="HC295" s="120"/>
      <c r="HD295" s="120"/>
      <c r="HE295" s="120"/>
      <c r="HF295" s="120"/>
      <c r="HG295" s="120"/>
      <c r="HH295" s="120"/>
      <c r="HI295" s="120"/>
      <c r="HJ295" s="120"/>
      <c r="HK295" s="120"/>
      <c r="HL295" s="120"/>
      <c r="HM295" s="120"/>
      <c r="HN295" s="120"/>
      <c r="HO295" s="120"/>
      <c r="HP295" s="120"/>
      <c r="HQ295" s="120"/>
      <c r="HR295" s="120"/>
      <c r="HS295" s="120"/>
      <c r="HT295" s="120"/>
      <c r="HU295" s="120"/>
      <c r="HV295" s="120"/>
      <c r="HW295" s="120"/>
      <c r="HX295" s="120"/>
      <c r="HY295" s="120"/>
      <c r="HZ295" s="120"/>
      <c r="IA295" s="120"/>
      <c r="IB295" s="120"/>
      <c r="IC295" s="120"/>
      <c r="ID295" s="120"/>
      <c r="IE295" s="120"/>
      <c r="IF295" s="120"/>
      <c r="IG295" s="120"/>
      <c r="IH295" s="120"/>
      <c r="II295" s="120"/>
      <c r="IJ295" s="120"/>
      <c r="IK295" s="120"/>
      <c r="IL295" s="120"/>
      <c r="IM295" s="120"/>
      <c r="IN295" s="120"/>
      <c r="IO295" s="120"/>
      <c r="IP295" s="120"/>
      <c r="IQ295" s="120"/>
      <c r="IR295" s="120"/>
      <c r="IS295" s="120"/>
      <c r="IT295" s="120"/>
      <c r="IU295" s="120"/>
      <c r="IV295" s="120"/>
      <c r="IW295" s="120"/>
      <c r="IX295" s="120"/>
      <c r="IY295" s="120"/>
      <c r="IZ295" s="120"/>
      <c r="JA295" s="120"/>
      <c r="JB295" s="120"/>
      <c r="JC295" s="120"/>
      <c r="JD295" s="120"/>
      <c r="JE295" s="120"/>
      <c r="JF295" s="120"/>
      <c r="JG295" s="120"/>
      <c r="JH295" s="120"/>
      <c r="JI295" s="120"/>
      <c r="JJ295" s="120"/>
      <c r="JK295" s="120"/>
      <c r="JL295" s="120"/>
      <c r="JM295" s="120"/>
      <c r="JN295" s="120"/>
      <c r="JO295" s="120"/>
      <c r="JP295" s="120"/>
      <c r="JQ295" s="120"/>
      <c r="JR295" s="120"/>
      <c r="JS295" s="120"/>
      <c r="JT295" s="120"/>
      <c r="JU295" s="120"/>
      <c r="JV295" s="120"/>
      <c r="JW295" s="120"/>
      <c r="JX295" s="120"/>
      <c r="JY295" s="120"/>
      <c r="JZ295" s="120"/>
      <c r="KA295" s="120"/>
      <c r="KB295" s="120"/>
      <c r="KC295" s="120"/>
      <c r="KD295" s="120"/>
      <c r="KE295" s="120"/>
      <c r="KF295" s="120"/>
      <c r="KG295" s="120"/>
      <c r="KH295" s="120"/>
      <c r="KI295" s="120"/>
      <c r="KJ295" s="120"/>
      <c r="KK295" s="120"/>
      <c r="KL295" s="120"/>
      <c r="KM295" s="120"/>
      <c r="KN295" s="120"/>
      <c r="KO295" s="120"/>
      <c r="KP295" s="120"/>
      <c r="KQ295" s="120"/>
      <c r="KR295" s="120"/>
      <c r="KS295" s="120"/>
      <c r="KT295" s="120"/>
      <c r="KU295" s="120"/>
      <c r="KV295" s="120"/>
      <c r="KW295" s="120"/>
      <c r="KX295" s="120"/>
      <c r="KY295" s="120"/>
      <c r="KZ295" s="120"/>
      <c r="LA295" s="120"/>
      <c r="LB295" s="120"/>
      <c r="LC295" s="120"/>
      <c r="LD295" s="120"/>
      <c r="LE295" s="120"/>
      <c r="LF295" s="120"/>
      <c r="LG295" s="120"/>
      <c r="LH295" s="120"/>
      <c r="LI295" s="120"/>
      <c r="LJ295" s="120"/>
      <c r="LK295" s="120"/>
      <c r="LL295" s="120"/>
      <c r="LM295" s="120"/>
      <c r="LN295" s="120"/>
      <c r="LO295" s="120"/>
      <c r="LP295" s="120"/>
      <c r="LQ295" s="120"/>
      <c r="LR295" s="120"/>
      <c r="LS295" s="120"/>
      <c r="LT295" s="120"/>
      <c r="LU295" s="120"/>
      <c r="LV295" s="120"/>
      <c r="LW295" s="120"/>
      <c r="LX295" s="120"/>
      <c r="LY295" s="120"/>
      <c r="LZ295" s="120"/>
      <c r="MA295" s="120"/>
      <c r="MB295" s="120"/>
      <c r="MC295" s="120"/>
      <c r="MD295" s="120"/>
      <c r="ME295" s="120"/>
      <c r="MF295" s="120"/>
      <c r="MG295" s="120"/>
      <c r="MH295" s="120"/>
      <c r="MI295" s="120"/>
      <c r="MJ295" s="120"/>
      <c r="MK295" s="120"/>
      <c r="ML295" s="120"/>
      <c r="MM295" s="120"/>
      <c r="MN295" s="120"/>
      <c r="MO295" s="120"/>
      <c r="MP295" s="120"/>
      <c r="MQ295" s="120"/>
      <c r="MR295" s="120"/>
      <c r="MS295" s="120"/>
      <c r="MT295" s="120"/>
      <c r="MU295" s="120"/>
      <c r="MV295" s="120"/>
      <c r="MW295" s="120"/>
      <c r="MX295" s="120"/>
      <c r="MY295" s="120"/>
      <c r="MZ295" s="120"/>
      <c r="NA295" s="120"/>
      <c r="NB295" s="120"/>
      <c r="NC295" s="120"/>
      <c r="ND295" s="120"/>
      <c r="NE295" s="120"/>
      <c r="NF295" s="120"/>
      <c r="NG295" s="120"/>
      <c r="NH295" s="120"/>
      <c r="NI295" s="120"/>
      <c r="NJ295" s="120"/>
      <c r="NK295" s="120"/>
      <c r="NL295" s="120"/>
      <c r="NM295" s="120"/>
      <c r="NN295" s="120"/>
      <c r="NO295" s="120"/>
      <c r="NP295" s="120"/>
      <c r="NQ295" s="120"/>
      <c r="NR295" s="120"/>
      <c r="NS295" s="120"/>
      <c r="NT295" s="120"/>
      <c r="NU295" s="120"/>
      <c r="NV295" s="120"/>
      <c r="NW295" s="120"/>
      <c r="NX295" s="120"/>
      <c r="NY295" s="120"/>
      <c r="NZ295" s="120"/>
      <c r="OA295" s="120"/>
      <c r="OB295" s="120"/>
      <c r="OC295" s="120"/>
      <c r="OD295" s="120"/>
      <c r="OE295" s="120"/>
      <c r="OF295" s="120"/>
      <c r="OG295" s="120"/>
      <c r="OH295" s="120"/>
      <c r="OI295" s="120"/>
      <c r="OJ295" s="120"/>
      <c r="OK295" s="120"/>
      <c r="OL295" s="120"/>
      <c r="OM295" s="120"/>
      <c r="ON295" s="120"/>
      <c r="OO295" s="120"/>
      <c r="OP295" s="120"/>
      <c r="OQ295" s="120"/>
      <c r="OR295" s="120"/>
      <c r="OS295" s="120"/>
      <c r="OT295" s="120"/>
      <c r="OU295" s="120"/>
      <c r="OV295" s="120"/>
      <c r="OW295" s="120"/>
      <c r="OX295" s="120"/>
      <c r="OY295" s="120"/>
      <c r="OZ295" s="120"/>
      <c r="PA295" s="120"/>
      <c r="PB295" s="120"/>
      <c r="PC295" s="120"/>
      <c r="PD295" s="120"/>
      <c r="PE295" s="120"/>
      <c r="PF295" s="120"/>
      <c r="PG295" s="120"/>
      <c r="PH295" s="120"/>
      <c r="PI295" s="120"/>
      <c r="PJ295" s="120"/>
      <c r="PK295" s="120"/>
      <c r="PL295" s="120"/>
      <c r="PM295" s="120"/>
      <c r="PN295" s="120"/>
      <c r="PO295" s="120"/>
      <c r="PP295" s="120"/>
      <c r="PQ295" s="120"/>
      <c r="PR295" s="120"/>
      <c r="PS295" s="120"/>
      <c r="PT295" s="120"/>
      <c r="PU295" s="120"/>
      <c r="PV295" s="120"/>
      <c r="PW295" s="120"/>
      <c r="PX295" s="120"/>
      <c r="PY295" s="120"/>
      <c r="PZ295" s="120"/>
      <c r="QA295" s="120"/>
      <c r="QB295" s="120"/>
      <c r="QC295" s="120"/>
      <c r="QD295" s="120"/>
      <c r="QE295" s="120"/>
      <c r="QF295" s="120"/>
      <c r="QG295" s="120"/>
      <c r="QH295" s="120"/>
      <c r="QI295" s="120"/>
      <c r="QJ295" s="120"/>
      <c r="QK295" s="120"/>
      <c r="QL295" s="120"/>
      <c r="QM295" s="120"/>
      <c r="QN295" s="120"/>
      <c r="QO295" s="120"/>
      <c r="QP295" s="120"/>
      <c r="QQ295" s="120"/>
      <c r="QR295" s="120"/>
      <c r="QS295" s="120"/>
      <c r="QT295" s="120"/>
      <c r="QU295" s="120"/>
      <c r="QV295" s="120"/>
      <c r="QW295" s="120"/>
      <c r="QX295" s="120"/>
      <c r="QY295" s="120"/>
      <c r="QZ295" s="120"/>
      <c r="RA295" s="120"/>
      <c r="RB295" s="120"/>
      <c r="RC295" s="120"/>
      <c r="RD295" s="120"/>
      <c r="RE295" s="120"/>
      <c r="RF295" s="120"/>
      <c r="RG295" s="120"/>
      <c r="RH295" s="120"/>
      <c r="RI295" s="120"/>
      <c r="RJ295" s="120"/>
      <c r="RK295" s="120"/>
      <c r="RL295" s="120"/>
      <c r="RM295" s="120"/>
      <c r="RN295" s="120"/>
      <c r="RO295" s="120"/>
      <c r="RP295" s="120"/>
      <c r="RQ295" s="120"/>
      <c r="RR295" s="120"/>
      <c r="RS295" s="120"/>
      <c r="RT295" s="120"/>
      <c r="RU295" s="120"/>
      <c r="RV295" s="120"/>
      <c r="RW295" s="120"/>
      <c r="RX295" s="120"/>
      <c r="RY295" s="120"/>
      <c r="RZ295" s="120"/>
      <c r="SA295" s="120"/>
      <c r="SB295" s="120"/>
      <c r="SC295" s="120"/>
      <c r="SD295" s="120"/>
      <c r="SE295" s="120"/>
      <c r="SF295" s="120"/>
      <c r="SG295" s="120"/>
      <c r="SH295" s="120"/>
      <c r="SI295" s="120"/>
      <c r="SJ295" s="120"/>
      <c r="SK295" s="120"/>
      <c r="SL295" s="120"/>
      <c r="SM295" s="120"/>
      <c r="SN295" s="120"/>
      <c r="SO295" s="120"/>
      <c r="SP295" s="120"/>
      <c r="SQ295" s="120"/>
      <c r="SR295" s="120"/>
      <c r="SS295" s="120"/>
      <c r="ST295" s="120"/>
      <c r="SU295" s="120"/>
      <c r="SV295" s="120"/>
      <c r="SW295" s="120"/>
      <c r="SX295" s="120"/>
      <c r="SY295" s="120"/>
      <c r="SZ295" s="120"/>
      <c r="TA295" s="120"/>
      <c r="TB295" s="120"/>
      <c r="TC295" s="120"/>
      <c r="TD295" s="120"/>
      <c r="TE295" s="120"/>
      <c r="TF295" s="120"/>
      <c r="TG295" s="120"/>
      <c r="TH295" s="120"/>
      <c r="TI295" s="120"/>
      <c r="TJ295" s="120"/>
      <c r="TK295" s="120"/>
      <c r="TL295" s="120"/>
      <c r="TM295" s="120"/>
      <c r="TN295" s="120"/>
      <c r="TO295" s="120"/>
      <c r="TP295" s="120"/>
      <c r="TQ295" s="120"/>
      <c r="TR295" s="120"/>
      <c r="TS295" s="120"/>
      <c r="TT295" s="120"/>
      <c r="TU295" s="120"/>
      <c r="TV295" s="120"/>
      <c r="TW295" s="120"/>
      <c r="TX295" s="120"/>
      <c r="TY295" s="120"/>
      <c r="TZ295" s="120"/>
      <c r="UA295" s="120"/>
      <c r="UB295" s="120"/>
      <c r="UC295" s="120"/>
      <c r="UD295" s="120"/>
      <c r="UE295" s="120"/>
      <c r="UF295" s="120"/>
      <c r="UG295" s="120"/>
      <c r="UH295" s="120"/>
      <c r="UI295" s="120"/>
      <c r="UJ295" s="120"/>
      <c r="UK295" s="120"/>
      <c r="UL295" s="120"/>
      <c r="UM295" s="120"/>
      <c r="UN295" s="120"/>
      <c r="UO295" s="120"/>
      <c r="UP295" s="120"/>
      <c r="UQ295" s="120"/>
      <c r="UR295" s="120"/>
      <c r="US295" s="120"/>
      <c r="UT295" s="120"/>
      <c r="UU295" s="120"/>
      <c r="UV295" s="120"/>
      <c r="UW295" s="120"/>
      <c r="UX295" s="120"/>
      <c r="UY295" s="120"/>
      <c r="UZ295" s="120"/>
      <c r="VA295" s="120"/>
      <c r="VB295" s="120"/>
      <c r="VC295" s="120"/>
      <c r="VD295" s="120"/>
      <c r="VE295" s="120"/>
      <c r="VF295" s="120"/>
      <c r="VG295" s="120"/>
      <c r="VH295" s="120"/>
      <c r="VI295" s="120"/>
      <c r="VJ295" s="120"/>
      <c r="VK295" s="120"/>
      <c r="VL295" s="120"/>
      <c r="VM295" s="120"/>
      <c r="VN295" s="120"/>
      <c r="VO295" s="120"/>
      <c r="VP295" s="120"/>
      <c r="VQ295" s="120"/>
      <c r="VR295" s="120"/>
      <c r="VS295" s="120"/>
      <c r="VT295" s="120"/>
      <c r="VU295" s="120"/>
      <c r="VV295" s="120"/>
      <c r="VW295" s="120"/>
      <c r="VX295" s="120"/>
      <c r="VY295" s="120"/>
      <c r="VZ295" s="120"/>
      <c r="WA295" s="120"/>
      <c r="WB295" s="120"/>
      <c r="WC295" s="120"/>
      <c r="WD295" s="120"/>
      <c r="WE295" s="120"/>
      <c r="WF295" s="120"/>
      <c r="WG295" s="120"/>
      <c r="WH295" s="120"/>
      <c r="WI295" s="120"/>
      <c r="WJ295" s="120"/>
      <c r="WK295" s="120"/>
      <c r="WL295" s="120"/>
      <c r="WM295" s="120"/>
      <c r="WN295" s="120"/>
      <c r="WO295" s="120"/>
      <c r="WP295" s="120"/>
      <c r="WQ295" s="120"/>
      <c r="WR295" s="120"/>
      <c r="WS295" s="120"/>
      <c r="WT295" s="120"/>
      <c r="WU295" s="120"/>
      <c r="WV295" s="120"/>
      <c r="WW295" s="120"/>
      <c r="WX295" s="120"/>
      <c r="WY295" s="120"/>
      <c r="WZ295" s="120"/>
      <c r="XA295" s="120"/>
      <c r="XB295" s="120"/>
      <c r="XC295" s="120"/>
      <c r="XD295" s="120"/>
      <c r="XE295" s="120"/>
      <c r="XF295" s="120"/>
      <c r="XG295" s="120"/>
      <c r="XH295" s="120"/>
      <c r="XI295" s="120"/>
      <c r="XJ295" s="120"/>
      <c r="XK295" s="120"/>
      <c r="XL295" s="120"/>
      <c r="XM295" s="120"/>
      <c r="XN295" s="120"/>
      <c r="XO295" s="120"/>
      <c r="XP295" s="120"/>
      <c r="XQ295" s="120"/>
      <c r="XR295" s="120"/>
      <c r="XS295" s="120"/>
      <c r="XT295" s="120"/>
      <c r="XU295" s="120"/>
      <c r="XV295" s="120"/>
      <c r="XW295" s="120"/>
      <c r="XX295" s="120"/>
      <c r="XY295" s="120"/>
      <c r="XZ295" s="120"/>
      <c r="YA295" s="120"/>
      <c r="YB295" s="120"/>
      <c r="YC295" s="120"/>
      <c r="YD295" s="120"/>
      <c r="YE295" s="120"/>
      <c r="YF295" s="120"/>
      <c r="YG295" s="120"/>
      <c r="YH295" s="120"/>
      <c r="YI295" s="120"/>
      <c r="YJ295" s="120"/>
      <c r="YK295" s="120"/>
      <c r="YL295" s="120"/>
      <c r="YM295" s="120"/>
      <c r="YN295" s="120"/>
      <c r="YO295" s="120"/>
      <c r="YP295" s="120"/>
      <c r="YQ295" s="120"/>
      <c r="YR295" s="120"/>
      <c r="YS295" s="120"/>
      <c r="YT295" s="120"/>
      <c r="YU295" s="120"/>
      <c r="YV295" s="120"/>
      <c r="YW295" s="120"/>
      <c r="YX295" s="120"/>
      <c r="YY295" s="120"/>
      <c r="YZ295" s="120"/>
      <c r="ZA295" s="120"/>
      <c r="ZB295" s="120"/>
      <c r="ZC295" s="120"/>
      <c r="ZD295" s="120"/>
      <c r="ZE295" s="120"/>
      <c r="ZF295" s="120"/>
      <c r="ZG295" s="120"/>
      <c r="ZH295" s="120"/>
      <c r="ZI295" s="120"/>
      <c r="ZJ295" s="120"/>
      <c r="ZK295" s="120"/>
      <c r="ZL295" s="120"/>
      <c r="ZM295" s="120"/>
      <c r="ZN295" s="120"/>
      <c r="ZO295" s="120"/>
      <c r="ZP295" s="120"/>
      <c r="ZQ295" s="120"/>
      <c r="ZR295" s="120"/>
      <c r="ZS295" s="120"/>
      <c r="ZT295" s="120"/>
      <c r="ZU295" s="120"/>
      <c r="ZV295" s="120"/>
      <c r="ZW295" s="120"/>
      <c r="ZX295" s="120"/>
      <c r="ZY295" s="120"/>
      <c r="ZZ295" s="120"/>
      <c r="AAA295" s="120"/>
      <c r="AAB295" s="120"/>
      <c r="AAC295" s="120"/>
      <c r="AAD295" s="120"/>
      <c r="AAE295" s="120"/>
      <c r="AAF295" s="120"/>
      <c r="AAG295" s="120"/>
      <c r="AAH295" s="120"/>
      <c r="AAI295" s="120"/>
      <c r="AAJ295" s="120"/>
      <c r="AAK295" s="120"/>
      <c r="AAL295" s="120"/>
      <c r="AAM295" s="120"/>
      <c r="AAN295" s="120"/>
      <c r="AAO295" s="120"/>
      <c r="AAP295" s="120"/>
      <c r="AAQ295" s="120"/>
      <c r="AAR295" s="120"/>
      <c r="AAS295" s="120"/>
      <c r="AAT295" s="120"/>
      <c r="AAU295" s="120"/>
      <c r="AAV295" s="120"/>
      <c r="AAW295" s="120"/>
      <c r="AAX295" s="120"/>
      <c r="AAY295" s="120"/>
      <c r="AAZ295" s="120"/>
      <c r="ABA295" s="120"/>
      <c r="ABB295" s="120"/>
      <c r="ABC295" s="120"/>
      <c r="ABD295" s="120"/>
      <c r="ABE295" s="120"/>
      <c r="ABF295" s="120"/>
      <c r="ABG295" s="120"/>
      <c r="ABH295" s="120"/>
      <c r="ABI295" s="120"/>
      <c r="ABJ295" s="120"/>
      <c r="ABK295" s="120"/>
      <c r="ABL295" s="120"/>
      <c r="ABM295" s="120"/>
      <c r="ABN295" s="120"/>
      <c r="ABO295" s="120"/>
      <c r="ABP295" s="120"/>
      <c r="ABQ295" s="120"/>
      <c r="ABR295" s="120"/>
      <c r="ABS295" s="120"/>
      <c r="ABT295" s="120"/>
      <c r="ABU295" s="120"/>
      <c r="ABV295" s="120"/>
      <c r="ABW295" s="120"/>
      <c r="ABX295" s="120"/>
      <c r="ABY295" s="120"/>
      <c r="ABZ295" s="120"/>
      <c r="ACA295" s="120"/>
      <c r="ACB295" s="120"/>
      <c r="ACC295" s="120"/>
      <c r="ACD295" s="120"/>
      <c r="ACE295" s="120"/>
      <c r="ACF295" s="120"/>
      <c r="ACG295" s="120"/>
      <c r="ACH295" s="120"/>
      <c r="ACI295" s="120"/>
      <c r="ACJ295" s="120"/>
      <c r="ACK295" s="120"/>
      <c r="ACL295" s="120"/>
      <c r="ACM295" s="120"/>
      <c r="ACN295" s="120"/>
      <c r="ACO295" s="120"/>
      <c r="ACP295" s="120"/>
      <c r="ACQ295" s="120"/>
      <c r="ACR295" s="120"/>
      <c r="ACS295" s="120"/>
      <c r="ACT295" s="120"/>
      <c r="ACU295" s="120"/>
      <c r="ACV295" s="120"/>
      <c r="ACW295" s="120"/>
      <c r="ACX295" s="120"/>
      <c r="ACY295" s="120"/>
      <c r="ACZ295" s="120"/>
      <c r="ADA295" s="120"/>
      <c r="ADB295" s="120"/>
      <c r="ADC295" s="120"/>
      <c r="ADD295" s="120"/>
      <c r="ADE295" s="120"/>
      <c r="ADF295" s="120"/>
      <c r="ADG295" s="120"/>
      <c r="ADH295" s="120"/>
      <c r="ADI295" s="120"/>
      <c r="ADJ295" s="120"/>
      <c r="ADK295" s="120"/>
      <c r="ADL295" s="120"/>
      <c r="ADM295" s="120"/>
      <c r="ADN295" s="120"/>
      <c r="ADO295" s="120"/>
      <c r="ADP295" s="120"/>
      <c r="ADQ295" s="120"/>
      <c r="ADR295" s="120"/>
      <c r="ADS295" s="120"/>
      <c r="ADT295" s="120"/>
      <c r="ADU295" s="120"/>
      <c r="ADV295" s="120"/>
      <c r="ADW295" s="120"/>
      <c r="ADX295" s="120"/>
      <c r="ADY295" s="120"/>
      <c r="ADZ295" s="120"/>
      <c r="AEA295" s="120"/>
      <c r="AEB295" s="120"/>
      <c r="AEC295" s="120"/>
      <c r="AED295" s="120"/>
      <c r="AEE295" s="120"/>
      <c r="AEF295" s="120"/>
      <c r="AEG295" s="120"/>
      <c r="AEH295" s="120"/>
      <c r="AEI295" s="120"/>
      <c r="AEJ295" s="120"/>
      <c r="AEK295" s="120"/>
      <c r="AEL295" s="120"/>
      <c r="AEM295" s="120"/>
      <c r="AEN295" s="120"/>
      <c r="AEO295" s="120"/>
      <c r="AEP295" s="120"/>
      <c r="AEQ295" s="120"/>
      <c r="AER295" s="120"/>
      <c r="AES295" s="120"/>
      <c r="AET295" s="120"/>
      <c r="AEU295" s="120"/>
      <c r="AEV295" s="120"/>
      <c r="AEW295" s="120"/>
      <c r="AEX295" s="120"/>
      <c r="AEY295" s="120"/>
      <c r="AEZ295" s="120"/>
      <c r="AFA295" s="120"/>
      <c r="AFB295" s="120"/>
      <c r="AFC295" s="120"/>
      <c r="AFD295" s="120"/>
      <c r="AFE295" s="120"/>
      <c r="AFF295" s="120"/>
      <c r="AFG295" s="120"/>
      <c r="AFH295" s="120"/>
      <c r="AFI295" s="120"/>
      <c r="AFJ295" s="120"/>
      <c r="AFK295" s="120"/>
      <c r="AFL295" s="120"/>
      <c r="AFM295" s="120"/>
      <c r="AFN295" s="120"/>
      <c r="AFO295" s="120"/>
      <c r="AFP295" s="120"/>
      <c r="AFQ295" s="120"/>
      <c r="AFR295" s="120"/>
      <c r="AFS295" s="120"/>
      <c r="AFT295" s="120"/>
      <c r="AFU295" s="120"/>
      <c r="AFV295" s="120"/>
      <c r="AFW295" s="120"/>
      <c r="AFX295" s="120"/>
      <c r="AFY295" s="120"/>
      <c r="AFZ295" s="120"/>
      <c r="AGA295" s="120"/>
      <c r="AGB295" s="120"/>
      <c r="AGC295" s="120"/>
      <c r="AGD295" s="120"/>
      <c r="AGE295" s="120"/>
      <c r="AGF295" s="120"/>
      <c r="AGG295" s="120"/>
      <c r="AGH295" s="120"/>
      <c r="AGI295" s="120"/>
      <c r="AGJ295" s="120"/>
      <c r="AGK295" s="120"/>
      <c r="AGL295" s="120"/>
      <c r="AGM295" s="120"/>
      <c r="AGN295" s="120"/>
      <c r="AGO295" s="120"/>
      <c r="AGP295" s="120"/>
      <c r="AGQ295" s="120"/>
      <c r="AGR295" s="120"/>
      <c r="AGS295" s="120"/>
      <c r="AGT295" s="120"/>
      <c r="AGU295" s="120"/>
      <c r="AGV295" s="120"/>
      <c r="AGW295" s="120"/>
      <c r="AGX295" s="120"/>
      <c r="AGY295" s="120"/>
      <c r="AGZ295" s="120"/>
      <c r="AHA295" s="120"/>
      <c r="AHB295" s="120"/>
      <c r="AHC295" s="120"/>
      <c r="AHD295" s="120"/>
      <c r="AHE295" s="120"/>
      <c r="AHF295" s="120"/>
      <c r="AHG295" s="120"/>
      <c r="AHH295" s="120"/>
      <c r="AHI295" s="120"/>
      <c r="AHJ295" s="120"/>
      <c r="AHK295" s="120"/>
      <c r="AHL295" s="120"/>
      <c r="AHM295" s="120"/>
      <c r="AHN295" s="120"/>
      <c r="AHO295" s="120"/>
      <c r="AHP295" s="120"/>
      <c r="AHQ295" s="120"/>
      <c r="AHR295" s="120"/>
      <c r="AHS295" s="120"/>
      <c r="AHT295" s="120"/>
      <c r="AHU295" s="120"/>
      <c r="AHV295" s="120"/>
      <c r="AHW295" s="120"/>
      <c r="AHX295" s="120"/>
      <c r="AHY295" s="120"/>
      <c r="AHZ295" s="120"/>
      <c r="AIA295" s="120"/>
      <c r="AIB295" s="120"/>
      <c r="AIC295" s="120"/>
      <c r="AID295" s="120"/>
      <c r="AIE295" s="120"/>
      <c r="AIF295" s="120"/>
      <c r="AIG295" s="120"/>
      <c r="AIH295" s="120"/>
      <c r="AII295" s="120"/>
      <c r="AIJ295" s="120"/>
      <c r="AIK295" s="120"/>
      <c r="AIL295" s="120"/>
      <c r="AIM295" s="120"/>
      <c r="AIN295" s="120"/>
      <c r="AIO295" s="120"/>
      <c r="AIP295" s="120"/>
      <c r="AIQ295" s="120"/>
      <c r="AIR295" s="120"/>
      <c r="AIS295" s="120"/>
      <c r="AIT295" s="120"/>
      <c r="AIU295" s="120"/>
      <c r="AIV295" s="120"/>
      <c r="AIW295" s="120"/>
      <c r="AIX295" s="120"/>
      <c r="AIY295" s="120"/>
      <c r="AIZ295" s="120"/>
      <c r="AJA295" s="120"/>
      <c r="AJB295" s="120"/>
      <c r="AJC295" s="120"/>
      <c r="AJD295" s="120"/>
      <c r="AJE295" s="120"/>
      <c r="AJF295" s="120"/>
      <c r="AJG295" s="120"/>
      <c r="AJH295" s="120"/>
      <c r="AJI295" s="120"/>
      <c r="AJJ295" s="120"/>
      <c r="AJK295" s="120"/>
      <c r="AJL295" s="120"/>
      <c r="AJM295" s="120"/>
      <c r="AJN295" s="120"/>
      <c r="AJO295" s="120"/>
      <c r="AJP295" s="120"/>
      <c r="AJQ295" s="120"/>
      <c r="AJR295" s="120"/>
      <c r="AJS295" s="120"/>
      <c r="AJT295" s="120"/>
      <c r="AJU295" s="120"/>
      <c r="AJV295" s="120"/>
      <c r="AJW295" s="120"/>
      <c r="AJX295" s="120"/>
      <c r="AJY295" s="120"/>
      <c r="AJZ295" s="120"/>
      <c r="AKA295" s="120"/>
      <c r="AKB295" s="120"/>
      <c r="AKC295" s="120"/>
      <c r="AKD295" s="120"/>
      <c r="AKE295" s="120"/>
      <c r="AKF295" s="120"/>
      <c r="AKG295" s="120"/>
      <c r="AKH295" s="120"/>
      <c r="AKI295" s="120"/>
      <c r="AKJ295" s="120"/>
      <c r="AKK295" s="120"/>
      <c r="AKL295" s="120"/>
      <c r="AKM295" s="120"/>
      <c r="AKN295" s="120"/>
      <c r="AKO295" s="120"/>
      <c r="AKP295" s="120"/>
      <c r="AKQ295" s="120"/>
      <c r="AKR295" s="120"/>
      <c r="AKS295" s="120"/>
      <c r="AKT295" s="120"/>
      <c r="AKU295" s="120"/>
      <c r="AKV295" s="120"/>
      <c r="AKW295" s="120"/>
      <c r="AKX295" s="120"/>
      <c r="AKY295" s="120"/>
      <c r="AKZ295" s="120"/>
      <c r="ALA295" s="120"/>
      <c r="ALB295" s="120"/>
      <c r="ALC295" s="120"/>
      <c r="ALD295" s="120"/>
      <c r="ALE295" s="120"/>
      <c r="ALF295" s="120"/>
      <c r="ALG295" s="120"/>
      <c r="ALH295" s="120"/>
      <c r="ALI295" s="120"/>
      <c r="ALJ295" s="120"/>
      <c r="ALK295" s="120"/>
      <c r="ALL295" s="120"/>
      <c r="ALM295" s="120"/>
      <c r="ALN295" s="120"/>
      <c r="ALO295" s="120"/>
      <c r="ALP295" s="120"/>
      <c r="ALQ295" s="120"/>
      <c r="ALR295" s="120"/>
      <c r="ALS295" s="120"/>
      <c r="ALT295" s="120"/>
      <c r="ALU295" s="120"/>
      <c r="ALV295" s="120"/>
      <c r="ALW295" s="120"/>
      <c r="ALX295" s="120"/>
      <c r="ALY295" s="120"/>
      <c r="ALZ295" s="120"/>
      <c r="AMA295" s="120"/>
      <c r="AMB295" s="120"/>
      <c r="AMC295" s="120"/>
      <c r="AMD295" s="120"/>
      <c r="AME295" s="120"/>
      <c r="AMF295" s="120"/>
      <c r="AMG295" s="120"/>
      <c r="AMH295" s="120"/>
    </row>
    <row r="296" spans="1:1022" s="119" customFormat="1" x14ac:dyDescent="0.25">
      <c r="A296" s="121"/>
      <c r="B296" s="230" t="s">
        <v>149</v>
      </c>
      <c r="C296" s="231"/>
      <c r="D296" s="231"/>
      <c r="E296" s="231"/>
      <c r="F296" s="231"/>
      <c r="G296" s="174"/>
      <c r="H296" s="244" t="s">
        <v>148</v>
      </c>
      <c r="I296" s="244"/>
      <c r="J296" s="244"/>
      <c r="K296" s="244"/>
      <c r="L296" s="245"/>
      <c r="M296" s="120"/>
      <c r="N296" s="120"/>
      <c r="O296" s="120"/>
      <c r="P296" s="120"/>
      <c r="Q296" s="120"/>
      <c r="R296" s="120"/>
      <c r="S296" s="120"/>
      <c r="T296" s="120"/>
      <c r="U296" s="120"/>
      <c r="V296" s="120"/>
      <c r="W296" s="120"/>
      <c r="X296" s="120"/>
      <c r="Y296" s="120"/>
      <c r="Z296" s="120"/>
      <c r="AA296" s="120"/>
      <c r="AB296" s="120"/>
      <c r="AC296" s="120"/>
      <c r="AD296" s="120"/>
      <c r="AE296" s="120"/>
      <c r="AF296" s="120"/>
      <c r="AG296" s="120"/>
      <c r="AH296" s="120"/>
      <c r="AI296" s="120"/>
      <c r="AJ296" s="120"/>
      <c r="AK296" s="120"/>
      <c r="AL296" s="120"/>
      <c r="AM296" s="120"/>
      <c r="AN296" s="120"/>
      <c r="AO296" s="120"/>
      <c r="AP296" s="120"/>
      <c r="AQ296" s="120"/>
      <c r="AR296" s="120"/>
      <c r="AS296" s="120"/>
      <c r="AT296" s="120"/>
      <c r="AU296" s="120"/>
      <c r="AV296" s="120"/>
      <c r="AW296" s="120"/>
      <c r="AX296" s="120"/>
      <c r="AY296" s="120"/>
      <c r="AZ296" s="120"/>
      <c r="BA296" s="120"/>
      <c r="BB296" s="120"/>
      <c r="BC296" s="120"/>
      <c r="BD296" s="120"/>
      <c r="BE296" s="120"/>
      <c r="BF296" s="120"/>
      <c r="BG296" s="120"/>
      <c r="BH296" s="120"/>
      <c r="BI296" s="120"/>
      <c r="BJ296" s="120"/>
      <c r="BK296" s="120"/>
      <c r="BL296" s="120"/>
      <c r="BM296" s="120"/>
      <c r="BN296" s="120"/>
      <c r="BO296" s="120"/>
      <c r="BP296" s="120"/>
      <c r="BQ296" s="120"/>
      <c r="BR296" s="120"/>
      <c r="BS296" s="120"/>
      <c r="BT296" s="120"/>
      <c r="BU296" s="120"/>
      <c r="BV296" s="120"/>
      <c r="BW296" s="120"/>
      <c r="BX296" s="120"/>
      <c r="BY296" s="120"/>
      <c r="BZ296" s="120"/>
      <c r="CA296" s="120"/>
      <c r="CB296" s="120"/>
      <c r="CC296" s="120"/>
      <c r="CD296" s="120"/>
      <c r="CE296" s="120"/>
      <c r="CF296" s="120"/>
      <c r="CG296" s="120"/>
      <c r="CH296" s="120"/>
      <c r="CI296" s="120"/>
      <c r="CJ296" s="120"/>
      <c r="CK296" s="120"/>
      <c r="CL296" s="120"/>
      <c r="CM296" s="120"/>
      <c r="CN296" s="120"/>
      <c r="CO296" s="120"/>
      <c r="CP296" s="120"/>
      <c r="CQ296" s="120"/>
      <c r="CR296" s="120"/>
      <c r="CS296" s="120"/>
      <c r="CT296" s="120"/>
      <c r="CU296" s="120"/>
      <c r="CV296" s="120"/>
      <c r="CW296" s="120"/>
      <c r="CX296" s="120"/>
      <c r="CY296" s="120"/>
      <c r="CZ296" s="120"/>
      <c r="DA296" s="120"/>
      <c r="DB296" s="120"/>
      <c r="DC296" s="120"/>
      <c r="DD296" s="120"/>
      <c r="DE296" s="120"/>
      <c r="DF296" s="120"/>
      <c r="DG296" s="120"/>
      <c r="DH296" s="120"/>
      <c r="DI296" s="120"/>
      <c r="DJ296" s="120"/>
      <c r="DK296" s="120"/>
      <c r="DL296" s="120"/>
      <c r="DM296" s="120"/>
      <c r="DN296" s="120"/>
      <c r="DO296" s="120"/>
      <c r="DP296" s="120"/>
      <c r="DQ296" s="120"/>
      <c r="DR296" s="120"/>
      <c r="DS296" s="120"/>
      <c r="DT296" s="120"/>
      <c r="DU296" s="120"/>
      <c r="DV296" s="120"/>
      <c r="DW296" s="120"/>
      <c r="DX296" s="120"/>
      <c r="DY296" s="120"/>
      <c r="DZ296" s="120"/>
      <c r="EA296" s="120"/>
      <c r="EB296" s="120"/>
      <c r="EC296" s="120"/>
      <c r="ED296" s="120"/>
      <c r="EE296" s="120"/>
      <c r="EF296" s="120"/>
      <c r="EG296" s="120"/>
      <c r="EH296" s="120"/>
      <c r="EI296" s="120"/>
      <c r="EJ296" s="120"/>
      <c r="EK296" s="120"/>
      <c r="EL296" s="120"/>
      <c r="EM296" s="120"/>
      <c r="EN296" s="120"/>
      <c r="EO296" s="120"/>
      <c r="EP296" s="120"/>
      <c r="EQ296" s="120"/>
      <c r="ER296" s="120"/>
      <c r="ES296" s="120"/>
      <c r="ET296" s="120"/>
      <c r="EU296" s="120"/>
      <c r="EV296" s="120"/>
      <c r="EW296" s="120"/>
      <c r="EX296" s="120"/>
      <c r="EY296" s="120"/>
      <c r="EZ296" s="120"/>
      <c r="FA296" s="120"/>
      <c r="FB296" s="120"/>
      <c r="FC296" s="120"/>
      <c r="FD296" s="120"/>
      <c r="FE296" s="120"/>
      <c r="FF296" s="120"/>
      <c r="FG296" s="120"/>
      <c r="FH296" s="120"/>
      <c r="FI296" s="120"/>
      <c r="FJ296" s="120"/>
      <c r="FK296" s="120"/>
      <c r="FL296" s="120"/>
      <c r="FM296" s="120"/>
      <c r="FN296" s="120"/>
      <c r="FO296" s="120"/>
      <c r="FP296" s="120"/>
      <c r="FQ296" s="120"/>
      <c r="FR296" s="120"/>
      <c r="FS296" s="120"/>
      <c r="FT296" s="120"/>
      <c r="FU296" s="120"/>
      <c r="FV296" s="120"/>
      <c r="FW296" s="120"/>
      <c r="FX296" s="120"/>
      <c r="FY296" s="120"/>
      <c r="FZ296" s="120"/>
      <c r="GA296" s="120"/>
      <c r="GB296" s="120"/>
      <c r="GC296" s="120"/>
      <c r="GD296" s="120"/>
      <c r="GE296" s="120"/>
      <c r="GF296" s="120"/>
      <c r="GG296" s="120"/>
      <c r="GH296" s="120"/>
      <c r="GI296" s="120"/>
      <c r="GJ296" s="120"/>
      <c r="GK296" s="120"/>
      <c r="GL296" s="120"/>
      <c r="GM296" s="120"/>
      <c r="GN296" s="120"/>
      <c r="GO296" s="120"/>
      <c r="GP296" s="120"/>
      <c r="GQ296" s="120"/>
      <c r="GR296" s="120"/>
      <c r="GS296" s="120"/>
      <c r="GT296" s="120"/>
      <c r="GU296" s="120"/>
      <c r="GV296" s="120"/>
      <c r="GW296" s="120"/>
      <c r="GX296" s="120"/>
      <c r="GY296" s="120"/>
      <c r="GZ296" s="120"/>
      <c r="HA296" s="120"/>
      <c r="HB296" s="120"/>
      <c r="HC296" s="120"/>
      <c r="HD296" s="120"/>
      <c r="HE296" s="120"/>
      <c r="HF296" s="120"/>
      <c r="HG296" s="120"/>
      <c r="HH296" s="120"/>
      <c r="HI296" s="120"/>
      <c r="HJ296" s="120"/>
      <c r="HK296" s="120"/>
      <c r="HL296" s="120"/>
      <c r="HM296" s="120"/>
      <c r="HN296" s="120"/>
      <c r="HO296" s="120"/>
      <c r="HP296" s="120"/>
      <c r="HQ296" s="120"/>
      <c r="HR296" s="120"/>
      <c r="HS296" s="120"/>
      <c r="HT296" s="120"/>
      <c r="HU296" s="120"/>
      <c r="HV296" s="120"/>
      <c r="HW296" s="120"/>
      <c r="HX296" s="120"/>
      <c r="HY296" s="120"/>
      <c r="HZ296" s="120"/>
      <c r="IA296" s="120"/>
      <c r="IB296" s="120"/>
      <c r="IC296" s="120"/>
      <c r="ID296" s="120"/>
      <c r="IE296" s="120"/>
      <c r="IF296" s="120"/>
      <c r="IG296" s="120"/>
      <c r="IH296" s="120"/>
      <c r="II296" s="120"/>
      <c r="IJ296" s="120"/>
      <c r="IK296" s="120"/>
      <c r="IL296" s="120"/>
      <c r="IM296" s="120"/>
      <c r="IN296" s="120"/>
      <c r="IO296" s="120"/>
      <c r="IP296" s="120"/>
      <c r="IQ296" s="120"/>
      <c r="IR296" s="120"/>
      <c r="IS296" s="120"/>
      <c r="IT296" s="120"/>
      <c r="IU296" s="120"/>
      <c r="IV296" s="120"/>
      <c r="IW296" s="120"/>
      <c r="IX296" s="120"/>
      <c r="IY296" s="120"/>
      <c r="IZ296" s="120"/>
      <c r="JA296" s="120"/>
      <c r="JB296" s="120"/>
      <c r="JC296" s="120"/>
      <c r="JD296" s="120"/>
      <c r="JE296" s="120"/>
      <c r="JF296" s="120"/>
      <c r="JG296" s="120"/>
      <c r="JH296" s="120"/>
      <c r="JI296" s="120"/>
      <c r="JJ296" s="120"/>
      <c r="JK296" s="120"/>
      <c r="JL296" s="120"/>
      <c r="JM296" s="120"/>
      <c r="JN296" s="120"/>
      <c r="JO296" s="120"/>
      <c r="JP296" s="120"/>
      <c r="JQ296" s="120"/>
      <c r="JR296" s="120"/>
      <c r="JS296" s="120"/>
      <c r="JT296" s="120"/>
      <c r="JU296" s="120"/>
      <c r="JV296" s="120"/>
      <c r="JW296" s="120"/>
      <c r="JX296" s="120"/>
      <c r="JY296" s="120"/>
      <c r="JZ296" s="120"/>
      <c r="KA296" s="120"/>
      <c r="KB296" s="120"/>
      <c r="KC296" s="120"/>
      <c r="KD296" s="120"/>
      <c r="KE296" s="120"/>
      <c r="KF296" s="120"/>
      <c r="KG296" s="120"/>
      <c r="KH296" s="120"/>
      <c r="KI296" s="120"/>
      <c r="KJ296" s="120"/>
      <c r="KK296" s="120"/>
      <c r="KL296" s="120"/>
      <c r="KM296" s="120"/>
      <c r="KN296" s="120"/>
      <c r="KO296" s="120"/>
      <c r="KP296" s="120"/>
      <c r="KQ296" s="120"/>
      <c r="KR296" s="120"/>
      <c r="KS296" s="120"/>
      <c r="KT296" s="120"/>
      <c r="KU296" s="120"/>
      <c r="KV296" s="120"/>
      <c r="KW296" s="120"/>
      <c r="KX296" s="120"/>
      <c r="KY296" s="120"/>
      <c r="KZ296" s="120"/>
      <c r="LA296" s="120"/>
      <c r="LB296" s="120"/>
      <c r="LC296" s="120"/>
      <c r="LD296" s="120"/>
      <c r="LE296" s="120"/>
      <c r="LF296" s="120"/>
      <c r="LG296" s="120"/>
      <c r="LH296" s="120"/>
      <c r="LI296" s="120"/>
      <c r="LJ296" s="120"/>
      <c r="LK296" s="120"/>
      <c r="LL296" s="120"/>
      <c r="LM296" s="120"/>
      <c r="LN296" s="120"/>
      <c r="LO296" s="120"/>
      <c r="LP296" s="120"/>
      <c r="LQ296" s="120"/>
      <c r="LR296" s="120"/>
      <c r="LS296" s="120"/>
      <c r="LT296" s="120"/>
      <c r="LU296" s="120"/>
      <c r="LV296" s="120"/>
      <c r="LW296" s="120"/>
      <c r="LX296" s="120"/>
      <c r="LY296" s="120"/>
      <c r="LZ296" s="120"/>
      <c r="MA296" s="120"/>
      <c r="MB296" s="120"/>
      <c r="MC296" s="120"/>
      <c r="MD296" s="120"/>
      <c r="ME296" s="120"/>
      <c r="MF296" s="120"/>
      <c r="MG296" s="120"/>
      <c r="MH296" s="120"/>
      <c r="MI296" s="120"/>
      <c r="MJ296" s="120"/>
      <c r="MK296" s="120"/>
      <c r="ML296" s="120"/>
      <c r="MM296" s="120"/>
      <c r="MN296" s="120"/>
      <c r="MO296" s="120"/>
      <c r="MP296" s="120"/>
      <c r="MQ296" s="120"/>
      <c r="MR296" s="120"/>
      <c r="MS296" s="120"/>
      <c r="MT296" s="120"/>
      <c r="MU296" s="120"/>
      <c r="MV296" s="120"/>
      <c r="MW296" s="120"/>
      <c r="MX296" s="120"/>
      <c r="MY296" s="120"/>
      <c r="MZ296" s="120"/>
      <c r="NA296" s="120"/>
      <c r="NB296" s="120"/>
      <c r="NC296" s="120"/>
      <c r="ND296" s="120"/>
      <c r="NE296" s="120"/>
      <c r="NF296" s="120"/>
      <c r="NG296" s="120"/>
      <c r="NH296" s="120"/>
      <c r="NI296" s="120"/>
      <c r="NJ296" s="120"/>
      <c r="NK296" s="120"/>
      <c r="NL296" s="120"/>
      <c r="NM296" s="120"/>
      <c r="NN296" s="120"/>
      <c r="NO296" s="120"/>
      <c r="NP296" s="120"/>
      <c r="NQ296" s="120"/>
      <c r="NR296" s="120"/>
      <c r="NS296" s="120"/>
      <c r="NT296" s="120"/>
      <c r="NU296" s="120"/>
      <c r="NV296" s="120"/>
      <c r="NW296" s="120"/>
      <c r="NX296" s="120"/>
      <c r="NY296" s="120"/>
      <c r="NZ296" s="120"/>
      <c r="OA296" s="120"/>
      <c r="OB296" s="120"/>
      <c r="OC296" s="120"/>
      <c r="OD296" s="120"/>
      <c r="OE296" s="120"/>
      <c r="OF296" s="120"/>
      <c r="OG296" s="120"/>
      <c r="OH296" s="120"/>
      <c r="OI296" s="120"/>
      <c r="OJ296" s="120"/>
      <c r="OK296" s="120"/>
      <c r="OL296" s="120"/>
      <c r="OM296" s="120"/>
      <c r="ON296" s="120"/>
      <c r="OO296" s="120"/>
      <c r="OP296" s="120"/>
      <c r="OQ296" s="120"/>
      <c r="OR296" s="120"/>
      <c r="OS296" s="120"/>
      <c r="OT296" s="120"/>
      <c r="OU296" s="120"/>
      <c r="OV296" s="120"/>
      <c r="OW296" s="120"/>
      <c r="OX296" s="120"/>
      <c r="OY296" s="120"/>
      <c r="OZ296" s="120"/>
      <c r="PA296" s="120"/>
      <c r="PB296" s="120"/>
      <c r="PC296" s="120"/>
      <c r="PD296" s="120"/>
      <c r="PE296" s="120"/>
      <c r="PF296" s="120"/>
      <c r="PG296" s="120"/>
      <c r="PH296" s="120"/>
      <c r="PI296" s="120"/>
      <c r="PJ296" s="120"/>
      <c r="PK296" s="120"/>
      <c r="PL296" s="120"/>
      <c r="PM296" s="120"/>
      <c r="PN296" s="120"/>
      <c r="PO296" s="120"/>
      <c r="PP296" s="120"/>
      <c r="PQ296" s="120"/>
      <c r="PR296" s="120"/>
      <c r="PS296" s="120"/>
      <c r="PT296" s="120"/>
      <c r="PU296" s="120"/>
      <c r="PV296" s="120"/>
      <c r="PW296" s="120"/>
      <c r="PX296" s="120"/>
      <c r="PY296" s="120"/>
      <c r="PZ296" s="120"/>
      <c r="QA296" s="120"/>
      <c r="QB296" s="120"/>
      <c r="QC296" s="120"/>
      <c r="QD296" s="120"/>
      <c r="QE296" s="120"/>
      <c r="QF296" s="120"/>
      <c r="QG296" s="120"/>
      <c r="QH296" s="120"/>
      <c r="QI296" s="120"/>
      <c r="QJ296" s="120"/>
      <c r="QK296" s="120"/>
      <c r="QL296" s="120"/>
      <c r="QM296" s="120"/>
      <c r="QN296" s="120"/>
      <c r="QO296" s="120"/>
      <c r="QP296" s="120"/>
      <c r="QQ296" s="120"/>
      <c r="QR296" s="120"/>
      <c r="QS296" s="120"/>
      <c r="QT296" s="120"/>
      <c r="QU296" s="120"/>
      <c r="QV296" s="120"/>
      <c r="QW296" s="120"/>
      <c r="QX296" s="120"/>
      <c r="QY296" s="120"/>
      <c r="QZ296" s="120"/>
      <c r="RA296" s="120"/>
      <c r="RB296" s="120"/>
      <c r="RC296" s="120"/>
      <c r="RD296" s="120"/>
      <c r="RE296" s="120"/>
      <c r="RF296" s="120"/>
      <c r="RG296" s="120"/>
      <c r="RH296" s="120"/>
      <c r="RI296" s="120"/>
      <c r="RJ296" s="120"/>
      <c r="RK296" s="120"/>
      <c r="RL296" s="120"/>
      <c r="RM296" s="120"/>
      <c r="RN296" s="120"/>
      <c r="RO296" s="120"/>
      <c r="RP296" s="120"/>
      <c r="RQ296" s="120"/>
      <c r="RR296" s="120"/>
      <c r="RS296" s="120"/>
      <c r="RT296" s="120"/>
      <c r="RU296" s="120"/>
      <c r="RV296" s="120"/>
      <c r="RW296" s="120"/>
      <c r="RX296" s="120"/>
      <c r="RY296" s="120"/>
      <c r="RZ296" s="120"/>
      <c r="SA296" s="120"/>
      <c r="SB296" s="120"/>
      <c r="SC296" s="120"/>
      <c r="SD296" s="120"/>
      <c r="SE296" s="120"/>
      <c r="SF296" s="120"/>
      <c r="SG296" s="120"/>
      <c r="SH296" s="120"/>
      <c r="SI296" s="120"/>
      <c r="SJ296" s="120"/>
      <c r="SK296" s="120"/>
      <c r="SL296" s="120"/>
      <c r="SM296" s="120"/>
      <c r="SN296" s="120"/>
      <c r="SO296" s="120"/>
      <c r="SP296" s="120"/>
      <c r="SQ296" s="120"/>
      <c r="SR296" s="120"/>
      <c r="SS296" s="120"/>
      <c r="ST296" s="120"/>
      <c r="SU296" s="120"/>
      <c r="SV296" s="120"/>
      <c r="SW296" s="120"/>
      <c r="SX296" s="120"/>
      <c r="SY296" s="120"/>
      <c r="SZ296" s="120"/>
      <c r="TA296" s="120"/>
      <c r="TB296" s="120"/>
      <c r="TC296" s="120"/>
      <c r="TD296" s="120"/>
      <c r="TE296" s="120"/>
      <c r="TF296" s="120"/>
      <c r="TG296" s="120"/>
      <c r="TH296" s="120"/>
      <c r="TI296" s="120"/>
      <c r="TJ296" s="120"/>
      <c r="TK296" s="120"/>
      <c r="TL296" s="120"/>
      <c r="TM296" s="120"/>
      <c r="TN296" s="120"/>
      <c r="TO296" s="120"/>
      <c r="TP296" s="120"/>
      <c r="TQ296" s="120"/>
      <c r="TR296" s="120"/>
      <c r="TS296" s="120"/>
      <c r="TT296" s="120"/>
      <c r="TU296" s="120"/>
      <c r="TV296" s="120"/>
      <c r="TW296" s="120"/>
      <c r="TX296" s="120"/>
      <c r="TY296" s="120"/>
      <c r="TZ296" s="120"/>
      <c r="UA296" s="120"/>
      <c r="UB296" s="120"/>
      <c r="UC296" s="120"/>
      <c r="UD296" s="120"/>
      <c r="UE296" s="120"/>
      <c r="UF296" s="120"/>
      <c r="UG296" s="120"/>
      <c r="UH296" s="120"/>
      <c r="UI296" s="120"/>
      <c r="UJ296" s="120"/>
      <c r="UK296" s="120"/>
      <c r="UL296" s="120"/>
      <c r="UM296" s="120"/>
      <c r="UN296" s="120"/>
      <c r="UO296" s="120"/>
      <c r="UP296" s="120"/>
      <c r="UQ296" s="120"/>
      <c r="UR296" s="120"/>
      <c r="US296" s="120"/>
      <c r="UT296" s="120"/>
      <c r="UU296" s="120"/>
      <c r="UV296" s="120"/>
      <c r="UW296" s="120"/>
      <c r="UX296" s="120"/>
      <c r="UY296" s="120"/>
      <c r="UZ296" s="120"/>
      <c r="VA296" s="120"/>
      <c r="VB296" s="120"/>
      <c r="VC296" s="120"/>
      <c r="VD296" s="120"/>
      <c r="VE296" s="120"/>
      <c r="VF296" s="120"/>
      <c r="VG296" s="120"/>
      <c r="VH296" s="120"/>
      <c r="VI296" s="120"/>
      <c r="VJ296" s="120"/>
      <c r="VK296" s="120"/>
      <c r="VL296" s="120"/>
      <c r="VM296" s="120"/>
      <c r="VN296" s="120"/>
      <c r="VO296" s="120"/>
      <c r="VP296" s="120"/>
      <c r="VQ296" s="120"/>
      <c r="VR296" s="120"/>
      <c r="VS296" s="120"/>
      <c r="VT296" s="120"/>
      <c r="VU296" s="120"/>
      <c r="VV296" s="120"/>
      <c r="VW296" s="120"/>
      <c r="VX296" s="120"/>
      <c r="VY296" s="120"/>
      <c r="VZ296" s="120"/>
      <c r="WA296" s="120"/>
      <c r="WB296" s="120"/>
      <c r="WC296" s="120"/>
      <c r="WD296" s="120"/>
      <c r="WE296" s="120"/>
      <c r="WF296" s="120"/>
      <c r="WG296" s="120"/>
      <c r="WH296" s="120"/>
      <c r="WI296" s="120"/>
      <c r="WJ296" s="120"/>
      <c r="WK296" s="120"/>
      <c r="WL296" s="120"/>
      <c r="WM296" s="120"/>
      <c r="WN296" s="120"/>
      <c r="WO296" s="120"/>
      <c r="WP296" s="120"/>
      <c r="WQ296" s="120"/>
      <c r="WR296" s="120"/>
      <c r="WS296" s="120"/>
      <c r="WT296" s="120"/>
      <c r="WU296" s="120"/>
      <c r="WV296" s="120"/>
      <c r="WW296" s="120"/>
      <c r="WX296" s="120"/>
      <c r="WY296" s="120"/>
      <c r="WZ296" s="120"/>
      <c r="XA296" s="120"/>
      <c r="XB296" s="120"/>
      <c r="XC296" s="120"/>
      <c r="XD296" s="120"/>
      <c r="XE296" s="120"/>
      <c r="XF296" s="120"/>
      <c r="XG296" s="120"/>
      <c r="XH296" s="120"/>
      <c r="XI296" s="120"/>
      <c r="XJ296" s="120"/>
      <c r="XK296" s="120"/>
      <c r="XL296" s="120"/>
      <c r="XM296" s="120"/>
      <c r="XN296" s="120"/>
      <c r="XO296" s="120"/>
      <c r="XP296" s="120"/>
      <c r="XQ296" s="120"/>
      <c r="XR296" s="120"/>
      <c r="XS296" s="120"/>
      <c r="XT296" s="120"/>
      <c r="XU296" s="120"/>
      <c r="XV296" s="120"/>
      <c r="XW296" s="120"/>
      <c r="XX296" s="120"/>
      <c r="XY296" s="120"/>
      <c r="XZ296" s="120"/>
      <c r="YA296" s="120"/>
      <c r="YB296" s="120"/>
      <c r="YC296" s="120"/>
      <c r="YD296" s="120"/>
      <c r="YE296" s="120"/>
      <c r="YF296" s="120"/>
      <c r="YG296" s="120"/>
      <c r="YH296" s="120"/>
      <c r="YI296" s="120"/>
      <c r="YJ296" s="120"/>
      <c r="YK296" s="120"/>
      <c r="YL296" s="120"/>
      <c r="YM296" s="120"/>
      <c r="YN296" s="120"/>
      <c r="YO296" s="120"/>
      <c r="YP296" s="120"/>
      <c r="YQ296" s="120"/>
      <c r="YR296" s="120"/>
      <c r="YS296" s="120"/>
      <c r="YT296" s="120"/>
      <c r="YU296" s="120"/>
      <c r="YV296" s="120"/>
      <c r="YW296" s="120"/>
      <c r="YX296" s="120"/>
      <c r="YY296" s="120"/>
      <c r="YZ296" s="120"/>
      <c r="ZA296" s="120"/>
      <c r="ZB296" s="120"/>
      <c r="ZC296" s="120"/>
      <c r="ZD296" s="120"/>
      <c r="ZE296" s="120"/>
      <c r="ZF296" s="120"/>
      <c r="ZG296" s="120"/>
      <c r="ZH296" s="120"/>
      <c r="ZI296" s="120"/>
      <c r="ZJ296" s="120"/>
      <c r="ZK296" s="120"/>
      <c r="ZL296" s="120"/>
      <c r="ZM296" s="120"/>
      <c r="ZN296" s="120"/>
      <c r="ZO296" s="120"/>
      <c r="ZP296" s="120"/>
      <c r="ZQ296" s="120"/>
      <c r="ZR296" s="120"/>
      <c r="ZS296" s="120"/>
      <c r="ZT296" s="120"/>
      <c r="ZU296" s="120"/>
      <c r="ZV296" s="120"/>
      <c r="ZW296" s="120"/>
      <c r="ZX296" s="120"/>
      <c r="ZY296" s="120"/>
      <c r="ZZ296" s="120"/>
      <c r="AAA296" s="120"/>
      <c r="AAB296" s="120"/>
      <c r="AAC296" s="120"/>
      <c r="AAD296" s="120"/>
      <c r="AAE296" s="120"/>
      <c r="AAF296" s="120"/>
      <c r="AAG296" s="120"/>
      <c r="AAH296" s="120"/>
      <c r="AAI296" s="120"/>
      <c r="AAJ296" s="120"/>
      <c r="AAK296" s="120"/>
      <c r="AAL296" s="120"/>
      <c r="AAM296" s="120"/>
      <c r="AAN296" s="120"/>
      <c r="AAO296" s="120"/>
      <c r="AAP296" s="120"/>
      <c r="AAQ296" s="120"/>
      <c r="AAR296" s="120"/>
      <c r="AAS296" s="120"/>
      <c r="AAT296" s="120"/>
      <c r="AAU296" s="120"/>
      <c r="AAV296" s="120"/>
      <c r="AAW296" s="120"/>
      <c r="AAX296" s="120"/>
      <c r="AAY296" s="120"/>
      <c r="AAZ296" s="120"/>
      <c r="ABA296" s="120"/>
      <c r="ABB296" s="120"/>
      <c r="ABC296" s="120"/>
      <c r="ABD296" s="120"/>
      <c r="ABE296" s="120"/>
      <c r="ABF296" s="120"/>
      <c r="ABG296" s="120"/>
      <c r="ABH296" s="120"/>
      <c r="ABI296" s="120"/>
      <c r="ABJ296" s="120"/>
      <c r="ABK296" s="120"/>
      <c r="ABL296" s="120"/>
      <c r="ABM296" s="120"/>
      <c r="ABN296" s="120"/>
      <c r="ABO296" s="120"/>
      <c r="ABP296" s="120"/>
      <c r="ABQ296" s="120"/>
      <c r="ABR296" s="120"/>
      <c r="ABS296" s="120"/>
      <c r="ABT296" s="120"/>
      <c r="ABU296" s="120"/>
      <c r="ABV296" s="120"/>
      <c r="ABW296" s="120"/>
      <c r="ABX296" s="120"/>
      <c r="ABY296" s="120"/>
      <c r="ABZ296" s="120"/>
      <c r="ACA296" s="120"/>
      <c r="ACB296" s="120"/>
      <c r="ACC296" s="120"/>
      <c r="ACD296" s="120"/>
      <c r="ACE296" s="120"/>
      <c r="ACF296" s="120"/>
      <c r="ACG296" s="120"/>
      <c r="ACH296" s="120"/>
      <c r="ACI296" s="120"/>
      <c r="ACJ296" s="120"/>
      <c r="ACK296" s="120"/>
      <c r="ACL296" s="120"/>
      <c r="ACM296" s="120"/>
      <c r="ACN296" s="120"/>
      <c r="ACO296" s="120"/>
      <c r="ACP296" s="120"/>
      <c r="ACQ296" s="120"/>
      <c r="ACR296" s="120"/>
      <c r="ACS296" s="120"/>
      <c r="ACT296" s="120"/>
      <c r="ACU296" s="120"/>
      <c r="ACV296" s="120"/>
      <c r="ACW296" s="120"/>
      <c r="ACX296" s="120"/>
      <c r="ACY296" s="120"/>
      <c r="ACZ296" s="120"/>
      <c r="ADA296" s="120"/>
      <c r="ADB296" s="120"/>
      <c r="ADC296" s="120"/>
      <c r="ADD296" s="120"/>
      <c r="ADE296" s="120"/>
      <c r="ADF296" s="120"/>
      <c r="ADG296" s="120"/>
      <c r="ADH296" s="120"/>
      <c r="ADI296" s="120"/>
      <c r="ADJ296" s="120"/>
      <c r="ADK296" s="120"/>
      <c r="ADL296" s="120"/>
      <c r="ADM296" s="120"/>
      <c r="ADN296" s="120"/>
      <c r="ADO296" s="120"/>
      <c r="ADP296" s="120"/>
      <c r="ADQ296" s="120"/>
      <c r="ADR296" s="120"/>
      <c r="ADS296" s="120"/>
      <c r="ADT296" s="120"/>
      <c r="ADU296" s="120"/>
      <c r="ADV296" s="120"/>
      <c r="ADW296" s="120"/>
      <c r="ADX296" s="120"/>
      <c r="ADY296" s="120"/>
      <c r="ADZ296" s="120"/>
      <c r="AEA296" s="120"/>
      <c r="AEB296" s="120"/>
      <c r="AEC296" s="120"/>
      <c r="AED296" s="120"/>
      <c r="AEE296" s="120"/>
      <c r="AEF296" s="120"/>
      <c r="AEG296" s="120"/>
      <c r="AEH296" s="120"/>
      <c r="AEI296" s="120"/>
      <c r="AEJ296" s="120"/>
      <c r="AEK296" s="120"/>
      <c r="AEL296" s="120"/>
      <c r="AEM296" s="120"/>
      <c r="AEN296" s="120"/>
      <c r="AEO296" s="120"/>
      <c r="AEP296" s="120"/>
      <c r="AEQ296" s="120"/>
      <c r="AER296" s="120"/>
      <c r="AES296" s="120"/>
      <c r="AET296" s="120"/>
      <c r="AEU296" s="120"/>
      <c r="AEV296" s="120"/>
      <c r="AEW296" s="120"/>
      <c r="AEX296" s="120"/>
      <c r="AEY296" s="120"/>
      <c r="AEZ296" s="120"/>
      <c r="AFA296" s="120"/>
      <c r="AFB296" s="120"/>
      <c r="AFC296" s="120"/>
      <c r="AFD296" s="120"/>
      <c r="AFE296" s="120"/>
      <c r="AFF296" s="120"/>
      <c r="AFG296" s="120"/>
      <c r="AFH296" s="120"/>
      <c r="AFI296" s="120"/>
      <c r="AFJ296" s="120"/>
      <c r="AFK296" s="120"/>
      <c r="AFL296" s="120"/>
      <c r="AFM296" s="120"/>
      <c r="AFN296" s="120"/>
      <c r="AFO296" s="120"/>
      <c r="AFP296" s="120"/>
      <c r="AFQ296" s="120"/>
      <c r="AFR296" s="120"/>
      <c r="AFS296" s="120"/>
      <c r="AFT296" s="120"/>
      <c r="AFU296" s="120"/>
      <c r="AFV296" s="120"/>
      <c r="AFW296" s="120"/>
      <c r="AFX296" s="120"/>
      <c r="AFY296" s="120"/>
      <c r="AFZ296" s="120"/>
      <c r="AGA296" s="120"/>
      <c r="AGB296" s="120"/>
      <c r="AGC296" s="120"/>
      <c r="AGD296" s="120"/>
      <c r="AGE296" s="120"/>
      <c r="AGF296" s="120"/>
      <c r="AGG296" s="120"/>
      <c r="AGH296" s="120"/>
      <c r="AGI296" s="120"/>
      <c r="AGJ296" s="120"/>
      <c r="AGK296" s="120"/>
      <c r="AGL296" s="120"/>
      <c r="AGM296" s="120"/>
      <c r="AGN296" s="120"/>
      <c r="AGO296" s="120"/>
      <c r="AGP296" s="120"/>
      <c r="AGQ296" s="120"/>
      <c r="AGR296" s="120"/>
      <c r="AGS296" s="120"/>
      <c r="AGT296" s="120"/>
      <c r="AGU296" s="120"/>
      <c r="AGV296" s="120"/>
      <c r="AGW296" s="120"/>
      <c r="AGX296" s="120"/>
      <c r="AGY296" s="120"/>
      <c r="AGZ296" s="120"/>
      <c r="AHA296" s="120"/>
      <c r="AHB296" s="120"/>
      <c r="AHC296" s="120"/>
      <c r="AHD296" s="120"/>
      <c r="AHE296" s="120"/>
      <c r="AHF296" s="120"/>
      <c r="AHG296" s="120"/>
      <c r="AHH296" s="120"/>
      <c r="AHI296" s="120"/>
      <c r="AHJ296" s="120"/>
      <c r="AHK296" s="120"/>
      <c r="AHL296" s="120"/>
      <c r="AHM296" s="120"/>
      <c r="AHN296" s="120"/>
      <c r="AHO296" s="120"/>
      <c r="AHP296" s="120"/>
      <c r="AHQ296" s="120"/>
      <c r="AHR296" s="120"/>
      <c r="AHS296" s="120"/>
      <c r="AHT296" s="120"/>
      <c r="AHU296" s="120"/>
      <c r="AHV296" s="120"/>
      <c r="AHW296" s="120"/>
      <c r="AHX296" s="120"/>
      <c r="AHY296" s="120"/>
      <c r="AHZ296" s="120"/>
      <c r="AIA296" s="120"/>
      <c r="AIB296" s="120"/>
      <c r="AIC296" s="120"/>
      <c r="AID296" s="120"/>
      <c r="AIE296" s="120"/>
      <c r="AIF296" s="120"/>
      <c r="AIG296" s="120"/>
      <c r="AIH296" s="120"/>
      <c r="AII296" s="120"/>
      <c r="AIJ296" s="120"/>
      <c r="AIK296" s="120"/>
      <c r="AIL296" s="120"/>
      <c r="AIM296" s="120"/>
      <c r="AIN296" s="120"/>
      <c r="AIO296" s="120"/>
      <c r="AIP296" s="120"/>
      <c r="AIQ296" s="120"/>
      <c r="AIR296" s="120"/>
      <c r="AIS296" s="120"/>
      <c r="AIT296" s="120"/>
      <c r="AIU296" s="120"/>
      <c r="AIV296" s="120"/>
      <c r="AIW296" s="120"/>
      <c r="AIX296" s="120"/>
      <c r="AIY296" s="120"/>
      <c r="AIZ296" s="120"/>
      <c r="AJA296" s="120"/>
      <c r="AJB296" s="120"/>
      <c r="AJC296" s="120"/>
      <c r="AJD296" s="120"/>
      <c r="AJE296" s="120"/>
      <c r="AJF296" s="120"/>
      <c r="AJG296" s="120"/>
      <c r="AJH296" s="120"/>
      <c r="AJI296" s="120"/>
      <c r="AJJ296" s="120"/>
      <c r="AJK296" s="120"/>
      <c r="AJL296" s="120"/>
      <c r="AJM296" s="120"/>
      <c r="AJN296" s="120"/>
      <c r="AJO296" s="120"/>
      <c r="AJP296" s="120"/>
      <c r="AJQ296" s="120"/>
      <c r="AJR296" s="120"/>
      <c r="AJS296" s="120"/>
      <c r="AJT296" s="120"/>
      <c r="AJU296" s="120"/>
      <c r="AJV296" s="120"/>
      <c r="AJW296" s="120"/>
      <c r="AJX296" s="120"/>
      <c r="AJY296" s="120"/>
      <c r="AJZ296" s="120"/>
      <c r="AKA296" s="120"/>
      <c r="AKB296" s="120"/>
      <c r="AKC296" s="120"/>
      <c r="AKD296" s="120"/>
      <c r="AKE296" s="120"/>
      <c r="AKF296" s="120"/>
      <c r="AKG296" s="120"/>
      <c r="AKH296" s="120"/>
      <c r="AKI296" s="120"/>
      <c r="AKJ296" s="120"/>
      <c r="AKK296" s="120"/>
      <c r="AKL296" s="120"/>
      <c r="AKM296" s="120"/>
      <c r="AKN296" s="120"/>
      <c r="AKO296" s="120"/>
      <c r="AKP296" s="120"/>
      <c r="AKQ296" s="120"/>
      <c r="AKR296" s="120"/>
      <c r="AKS296" s="120"/>
      <c r="AKT296" s="120"/>
      <c r="AKU296" s="120"/>
      <c r="AKV296" s="120"/>
      <c r="AKW296" s="120"/>
      <c r="AKX296" s="120"/>
      <c r="AKY296" s="120"/>
      <c r="AKZ296" s="120"/>
      <c r="ALA296" s="120"/>
      <c r="ALB296" s="120"/>
      <c r="ALC296" s="120"/>
      <c r="ALD296" s="120"/>
      <c r="ALE296" s="120"/>
      <c r="ALF296" s="120"/>
      <c r="ALG296" s="120"/>
      <c r="ALH296" s="120"/>
      <c r="ALI296" s="120"/>
      <c r="ALJ296" s="120"/>
      <c r="ALK296" s="120"/>
      <c r="ALL296" s="120"/>
      <c r="ALM296" s="120"/>
      <c r="ALN296" s="120"/>
      <c r="ALO296" s="120"/>
      <c r="ALP296" s="120"/>
      <c r="ALQ296" s="120"/>
      <c r="ALR296" s="120"/>
      <c r="ALS296" s="120"/>
      <c r="ALT296" s="120"/>
      <c r="ALU296" s="120"/>
      <c r="ALV296" s="120"/>
      <c r="ALW296" s="120"/>
      <c r="ALX296" s="120"/>
      <c r="ALY296" s="120"/>
      <c r="ALZ296" s="120"/>
      <c r="AMA296" s="120"/>
      <c r="AMB296" s="120"/>
      <c r="AMC296" s="120"/>
      <c r="AMD296" s="120"/>
      <c r="AME296" s="120"/>
      <c r="AMF296" s="120"/>
      <c r="AMG296" s="120"/>
      <c r="AMH296" s="120"/>
    </row>
    <row r="297" spans="1:1022" s="119" customFormat="1" x14ac:dyDescent="0.25">
      <c r="A297" s="121"/>
      <c r="B297" s="206" t="s">
        <v>287</v>
      </c>
      <c r="C297" s="207"/>
      <c r="D297" s="207"/>
      <c r="E297" s="207"/>
      <c r="F297" s="208"/>
      <c r="G297" s="174"/>
      <c r="H297" s="209" t="s">
        <v>146</v>
      </c>
      <c r="I297" s="210"/>
      <c r="J297" s="210"/>
      <c r="K297" s="210"/>
      <c r="L297" s="211"/>
      <c r="M297" s="120"/>
      <c r="N297" s="120"/>
      <c r="O297" s="120"/>
      <c r="P297" s="120"/>
      <c r="Q297" s="120"/>
      <c r="R297" s="120"/>
      <c r="S297" s="120"/>
      <c r="T297" s="120"/>
      <c r="U297" s="120"/>
      <c r="V297" s="120"/>
      <c r="W297" s="120"/>
      <c r="X297" s="120"/>
      <c r="Y297" s="120"/>
      <c r="Z297" s="120"/>
      <c r="AA297" s="120"/>
      <c r="AB297" s="120"/>
      <c r="AC297" s="120"/>
      <c r="AD297" s="120"/>
      <c r="AE297" s="120"/>
      <c r="AF297" s="120"/>
      <c r="AG297" s="120"/>
      <c r="AH297" s="120"/>
      <c r="AI297" s="120"/>
      <c r="AJ297" s="120"/>
      <c r="AK297" s="120"/>
      <c r="AL297" s="120"/>
      <c r="AM297" s="120"/>
      <c r="AN297" s="120"/>
      <c r="AO297" s="120"/>
      <c r="AP297" s="120"/>
      <c r="AQ297" s="120"/>
      <c r="AR297" s="120"/>
      <c r="AS297" s="120"/>
      <c r="AT297" s="120"/>
      <c r="AU297" s="120"/>
      <c r="AV297" s="120"/>
      <c r="AW297" s="120"/>
      <c r="AX297" s="120"/>
      <c r="AY297" s="120"/>
      <c r="AZ297" s="120"/>
      <c r="BA297" s="120"/>
      <c r="BB297" s="120"/>
      <c r="BC297" s="120"/>
      <c r="BD297" s="120"/>
      <c r="BE297" s="120"/>
      <c r="BF297" s="120"/>
      <c r="BG297" s="120"/>
      <c r="BH297" s="120"/>
      <c r="BI297" s="120"/>
      <c r="BJ297" s="120"/>
      <c r="BK297" s="120"/>
      <c r="BL297" s="120"/>
      <c r="BM297" s="120"/>
      <c r="BN297" s="120"/>
      <c r="BO297" s="120"/>
      <c r="BP297" s="120"/>
      <c r="BQ297" s="120"/>
      <c r="BR297" s="120"/>
      <c r="BS297" s="120"/>
      <c r="BT297" s="120"/>
      <c r="BU297" s="120"/>
      <c r="BV297" s="120"/>
      <c r="BW297" s="120"/>
      <c r="BX297" s="120"/>
      <c r="BY297" s="120"/>
      <c r="BZ297" s="120"/>
      <c r="CA297" s="120"/>
      <c r="CB297" s="120"/>
      <c r="CC297" s="120"/>
      <c r="CD297" s="120"/>
      <c r="CE297" s="120"/>
      <c r="CF297" s="120"/>
      <c r="CG297" s="120"/>
      <c r="CH297" s="120"/>
      <c r="CI297" s="120"/>
      <c r="CJ297" s="120"/>
      <c r="CK297" s="120"/>
      <c r="CL297" s="120"/>
      <c r="CM297" s="120"/>
      <c r="CN297" s="120"/>
      <c r="CO297" s="120"/>
      <c r="CP297" s="120"/>
      <c r="CQ297" s="120"/>
      <c r="CR297" s="120"/>
      <c r="CS297" s="120"/>
      <c r="CT297" s="120"/>
      <c r="CU297" s="120"/>
      <c r="CV297" s="120"/>
      <c r="CW297" s="120"/>
      <c r="CX297" s="120"/>
      <c r="CY297" s="120"/>
      <c r="CZ297" s="120"/>
      <c r="DA297" s="120"/>
      <c r="DB297" s="120"/>
      <c r="DC297" s="120"/>
      <c r="DD297" s="120"/>
      <c r="DE297" s="120"/>
      <c r="DF297" s="120"/>
      <c r="DG297" s="120"/>
      <c r="DH297" s="120"/>
      <c r="DI297" s="120"/>
      <c r="DJ297" s="120"/>
      <c r="DK297" s="120"/>
      <c r="DL297" s="120"/>
      <c r="DM297" s="120"/>
      <c r="DN297" s="120"/>
      <c r="DO297" s="120"/>
      <c r="DP297" s="120"/>
      <c r="DQ297" s="120"/>
      <c r="DR297" s="120"/>
      <c r="DS297" s="120"/>
      <c r="DT297" s="120"/>
      <c r="DU297" s="120"/>
      <c r="DV297" s="120"/>
      <c r="DW297" s="120"/>
      <c r="DX297" s="120"/>
      <c r="DY297" s="120"/>
      <c r="DZ297" s="120"/>
      <c r="EA297" s="120"/>
      <c r="EB297" s="120"/>
      <c r="EC297" s="120"/>
      <c r="ED297" s="120"/>
      <c r="EE297" s="120"/>
      <c r="EF297" s="120"/>
      <c r="EG297" s="120"/>
      <c r="EH297" s="120"/>
      <c r="EI297" s="120"/>
      <c r="EJ297" s="120"/>
      <c r="EK297" s="120"/>
      <c r="EL297" s="120"/>
      <c r="EM297" s="120"/>
      <c r="EN297" s="120"/>
      <c r="EO297" s="120"/>
      <c r="EP297" s="120"/>
      <c r="EQ297" s="120"/>
      <c r="ER297" s="120"/>
      <c r="ES297" s="120"/>
      <c r="ET297" s="120"/>
      <c r="EU297" s="120"/>
      <c r="EV297" s="120"/>
      <c r="EW297" s="120"/>
      <c r="EX297" s="120"/>
      <c r="EY297" s="120"/>
      <c r="EZ297" s="120"/>
      <c r="FA297" s="120"/>
      <c r="FB297" s="120"/>
      <c r="FC297" s="120"/>
      <c r="FD297" s="120"/>
      <c r="FE297" s="120"/>
      <c r="FF297" s="120"/>
      <c r="FG297" s="120"/>
      <c r="FH297" s="120"/>
      <c r="FI297" s="120"/>
      <c r="FJ297" s="120"/>
      <c r="FK297" s="120"/>
      <c r="FL297" s="120"/>
      <c r="FM297" s="120"/>
      <c r="FN297" s="120"/>
      <c r="FO297" s="120"/>
      <c r="FP297" s="120"/>
      <c r="FQ297" s="120"/>
      <c r="FR297" s="120"/>
      <c r="FS297" s="120"/>
      <c r="FT297" s="120"/>
      <c r="FU297" s="120"/>
      <c r="FV297" s="120"/>
      <c r="FW297" s="120"/>
      <c r="FX297" s="120"/>
      <c r="FY297" s="120"/>
      <c r="FZ297" s="120"/>
      <c r="GA297" s="120"/>
      <c r="GB297" s="120"/>
      <c r="GC297" s="120"/>
      <c r="GD297" s="120"/>
      <c r="GE297" s="120"/>
      <c r="GF297" s="120"/>
      <c r="GG297" s="120"/>
      <c r="GH297" s="120"/>
      <c r="GI297" s="120"/>
      <c r="GJ297" s="120"/>
      <c r="GK297" s="120"/>
      <c r="GL297" s="120"/>
      <c r="GM297" s="120"/>
      <c r="GN297" s="120"/>
      <c r="GO297" s="120"/>
      <c r="GP297" s="120"/>
      <c r="GQ297" s="120"/>
      <c r="GR297" s="120"/>
      <c r="GS297" s="120"/>
      <c r="GT297" s="120"/>
      <c r="GU297" s="120"/>
      <c r="GV297" s="120"/>
      <c r="GW297" s="120"/>
      <c r="GX297" s="120"/>
      <c r="GY297" s="120"/>
      <c r="GZ297" s="120"/>
      <c r="HA297" s="120"/>
      <c r="HB297" s="120"/>
      <c r="HC297" s="120"/>
      <c r="HD297" s="120"/>
      <c r="HE297" s="120"/>
      <c r="HF297" s="120"/>
      <c r="HG297" s="120"/>
      <c r="HH297" s="120"/>
      <c r="HI297" s="120"/>
      <c r="HJ297" s="120"/>
      <c r="HK297" s="120"/>
      <c r="HL297" s="120"/>
      <c r="HM297" s="120"/>
      <c r="HN297" s="120"/>
      <c r="HO297" s="120"/>
      <c r="HP297" s="120"/>
      <c r="HQ297" s="120"/>
      <c r="HR297" s="120"/>
      <c r="HS297" s="120"/>
      <c r="HT297" s="120"/>
      <c r="HU297" s="120"/>
      <c r="HV297" s="120"/>
      <c r="HW297" s="120"/>
      <c r="HX297" s="120"/>
      <c r="HY297" s="120"/>
      <c r="HZ297" s="120"/>
      <c r="IA297" s="120"/>
      <c r="IB297" s="120"/>
      <c r="IC297" s="120"/>
      <c r="ID297" s="120"/>
      <c r="IE297" s="120"/>
      <c r="IF297" s="120"/>
      <c r="IG297" s="120"/>
      <c r="IH297" s="120"/>
      <c r="II297" s="120"/>
      <c r="IJ297" s="120"/>
      <c r="IK297" s="120"/>
      <c r="IL297" s="120"/>
      <c r="IM297" s="120"/>
      <c r="IN297" s="120"/>
      <c r="IO297" s="120"/>
      <c r="IP297" s="120"/>
      <c r="IQ297" s="120"/>
      <c r="IR297" s="120"/>
      <c r="IS297" s="120"/>
      <c r="IT297" s="120"/>
      <c r="IU297" s="120"/>
      <c r="IV297" s="120"/>
      <c r="IW297" s="120"/>
      <c r="IX297" s="120"/>
      <c r="IY297" s="120"/>
      <c r="IZ297" s="120"/>
      <c r="JA297" s="120"/>
      <c r="JB297" s="120"/>
      <c r="JC297" s="120"/>
      <c r="JD297" s="120"/>
      <c r="JE297" s="120"/>
      <c r="JF297" s="120"/>
      <c r="JG297" s="120"/>
      <c r="JH297" s="120"/>
      <c r="JI297" s="120"/>
      <c r="JJ297" s="120"/>
      <c r="JK297" s="120"/>
      <c r="JL297" s="120"/>
      <c r="JM297" s="120"/>
      <c r="JN297" s="120"/>
      <c r="JO297" s="120"/>
      <c r="JP297" s="120"/>
      <c r="JQ297" s="120"/>
      <c r="JR297" s="120"/>
      <c r="JS297" s="120"/>
      <c r="JT297" s="120"/>
      <c r="JU297" s="120"/>
      <c r="JV297" s="120"/>
      <c r="JW297" s="120"/>
      <c r="JX297" s="120"/>
      <c r="JY297" s="120"/>
      <c r="JZ297" s="120"/>
      <c r="KA297" s="120"/>
      <c r="KB297" s="120"/>
      <c r="KC297" s="120"/>
      <c r="KD297" s="120"/>
      <c r="KE297" s="120"/>
      <c r="KF297" s="120"/>
      <c r="KG297" s="120"/>
      <c r="KH297" s="120"/>
      <c r="KI297" s="120"/>
      <c r="KJ297" s="120"/>
      <c r="KK297" s="120"/>
      <c r="KL297" s="120"/>
      <c r="KM297" s="120"/>
      <c r="KN297" s="120"/>
      <c r="KO297" s="120"/>
      <c r="KP297" s="120"/>
      <c r="KQ297" s="120"/>
      <c r="KR297" s="120"/>
      <c r="KS297" s="120"/>
      <c r="KT297" s="120"/>
      <c r="KU297" s="120"/>
      <c r="KV297" s="120"/>
      <c r="KW297" s="120"/>
      <c r="KX297" s="120"/>
      <c r="KY297" s="120"/>
      <c r="KZ297" s="120"/>
      <c r="LA297" s="120"/>
      <c r="LB297" s="120"/>
      <c r="LC297" s="120"/>
      <c r="LD297" s="120"/>
      <c r="LE297" s="120"/>
      <c r="LF297" s="120"/>
      <c r="LG297" s="120"/>
      <c r="LH297" s="120"/>
      <c r="LI297" s="120"/>
      <c r="LJ297" s="120"/>
      <c r="LK297" s="120"/>
      <c r="LL297" s="120"/>
      <c r="LM297" s="120"/>
      <c r="LN297" s="120"/>
      <c r="LO297" s="120"/>
      <c r="LP297" s="120"/>
      <c r="LQ297" s="120"/>
      <c r="LR297" s="120"/>
      <c r="LS297" s="120"/>
      <c r="LT297" s="120"/>
      <c r="LU297" s="120"/>
      <c r="LV297" s="120"/>
      <c r="LW297" s="120"/>
      <c r="LX297" s="120"/>
      <c r="LY297" s="120"/>
      <c r="LZ297" s="120"/>
      <c r="MA297" s="120"/>
      <c r="MB297" s="120"/>
      <c r="MC297" s="120"/>
      <c r="MD297" s="120"/>
      <c r="ME297" s="120"/>
      <c r="MF297" s="120"/>
      <c r="MG297" s="120"/>
      <c r="MH297" s="120"/>
      <c r="MI297" s="120"/>
      <c r="MJ297" s="120"/>
      <c r="MK297" s="120"/>
      <c r="ML297" s="120"/>
      <c r="MM297" s="120"/>
      <c r="MN297" s="120"/>
      <c r="MO297" s="120"/>
      <c r="MP297" s="120"/>
      <c r="MQ297" s="120"/>
      <c r="MR297" s="120"/>
      <c r="MS297" s="120"/>
      <c r="MT297" s="120"/>
      <c r="MU297" s="120"/>
      <c r="MV297" s="120"/>
      <c r="MW297" s="120"/>
      <c r="MX297" s="120"/>
      <c r="MY297" s="120"/>
      <c r="MZ297" s="120"/>
      <c r="NA297" s="120"/>
      <c r="NB297" s="120"/>
      <c r="NC297" s="120"/>
      <c r="ND297" s="120"/>
      <c r="NE297" s="120"/>
      <c r="NF297" s="120"/>
      <c r="NG297" s="120"/>
      <c r="NH297" s="120"/>
      <c r="NI297" s="120"/>
      <c r="NJ297" s="120"/>
      <c r="NK297" s="120"/>
      <c r="NL297" s="120"/>
      <c r="NM297" s="120"/>
      <c r="NN297" s="120"/>
      <c r="NO297" s="120"/>
      <c r="NP297" s="120"/>
      <c r="NQ297" s="120"/>
      <c r="NR297" s="120"/>
      <c r="NS297" s="120"/>
      <c r="NT297" s="120"/>
      <c r="NU297" s="120"/>
      <c r="NV297" s="120"/>
      <c r="NW297" s="120"/>
      <c r="NX297" s="120"/>
      <c r="NY297" s="120"/>
      <c r="NZ297" s="120"/>
      <c r="OA297" s="120"/>
      <c r="OB297" s="120"/>
      <c r="OC297" s="120"/>
      <c r="OD297" s="120"/>
      <c r="OE297" s="120"/>
      <c r="OF297" s="120"/>
      <c r="OG297" s="120"/>
      <c r="OH297" s="120"/>
      <c r="OI297" s="120"/>
      <c r="OJ297" s="120"/>
      <c r="OK297" s="120"/>
      <c r="OL297" s="120"/>
      <c r="OM297" s="120"/>
      <c r="ON297" s="120"/>
      <c r="OO297" s="120"/>
      <c r="OP297" s="120"/>
      <c r="OQ297" s="120"/>
      <c r="OR297" s="120"/>
      <c r="OS297" s="120"/>
      <c r="OT297" s="120"/>
      <c r="OU297" s="120"/>
      <c r="OV297" s="120"/>
      <c r="OW297" s="120"/>
      <c r="OX297" s="120"/>
      <c r="OY297" s="120"/>
      <c r="OZ297" s="120"/>
      <c r="PA297" s="120"/>
      <c r="PB297" s="120"/>
      <c r="PC297" s="120"/>
      <c r="PD297" s="120"/>
      <c r="PE297" s="120"/>
      <c r="PF297" s="120"/>
      <c r="PG297" s="120"/>
      <c r="PH297" s="120"/>
      <c r="PI297" s="120"/>
      <c r="PJ297" s="120"/>
      <c r="PK297" s="120"/>
      <c r="PL297" s="120"/>
      <c r="PM297" s="120"/>
      <c r="PN297" s="120"/>
      <c r="PO297" s="120"/>
      <c r="PP297" s="120"/>
      <c r="PQ297" s="120"/>
      <c r="PR297" s="120"/>
      <c r="PS297" s="120"/>
      <c r="PT297" s="120"/>
      <c r="PU297" s="120"/>
      <c r="PV297" s="120"/>
      <c r="PW297" s="120"/>
      <c r="PX297" s="120"/>
      <c r="PY297" s="120"/>
      <c r="PZ297" s="120"/>
      <c r="QA297" s="120"/>
      <c r="QB297" s="120"/>
      <c r="QC297" s="120"/>
      <c r="QD297" s="120"/>
      <c r="QE297" s="120"/>
      <c r="QF297" s="120"/>
      <c r="QG297" s="120"/>
      <c r="QH297" s="120"/>
      <c r="QI297" s="120"/>
      <c r="QJ297" s="120"/>
      <c r="QK297" s="120"/>
      <c r="QL297" s="120"/>
      <c r="QM297" s="120"/>
      <c r="QN297" s="120"/>
      <c r="QO297" s="120"/>
      <c r="QP297" s="120"/>
      <c r="QQ297" s="120"/>
      <c r="QR297" s="120"/>
      <c r="QS297" s="120"/>
      <c r="QT297" s="120"/>
      <c r="QU297" s="120"/>
      <c r="QV297" s="120"/>
      <c r="QW297" s="120"/>
      <c r="QX297" s="120"/>
      <c r="QY297" s="120"/>
      <c r="QZ297" s="120"/>
      <c r="RA297" s="120"/>
      <c r="RB297" s="120"/>
      <c r="RC297" s="120"/>
      <c r="RD297" s="120"/>
      <c r="RE297" s="120"/>
      <c r="RF297" s="120"/>
      <c r="RG297" s="120"/>
      <c r="RH297" s="120"/>
      <c r="RI297" s="120"/>
      <c r="RJ297" s="120"/>
      <c r="RK297" s="120"/>
      <c r="RL297" s="120"/>
      <c r="RM297" s="120"/>
      <c r="RN297" s="120"/>
      <c r="RO297" s="120"/>
      <c r="RP297" s="120"/>
      <c r="RQ297" s="120"/>
      <c r="RR297" s="120"/>
      <c r="RS297" s="120"/>
      <c r="RT297" s="120"/>
      <c r="RU297" s="120"/>
      <c r="RV297" s="120"/>
      <c r="RW297" s="120"/>
      <c r="RX297" s="120"/>
      <c r="RY297" s="120"/>
      <c r="RZ297" s="120"/>
      <c r="SA297" s="120"/>
      <c r="SB297" s="120"/>
      <c r="SC297" s="120"/>
      <c r="SD297" s="120"/>
      <c r="SE297" s="120"/>
      <c r="SF297" s="120"/>
      <c r="SG297" s="120"/>
      <c r="SH297" s="120"/>
      <c r="SI297" s="120"/>
      <c r="SJ297" s="120"/>
      <c r="SK297" s="120"/>
      <c r="SL297" s="120"/>
      <c r="SM297" s="120"/>
      <c r="SN297" s="120"/>
      <c r="SO297" s="120"/>
      <c r="SP297" s="120"/>
      <c r="SQ297" s="120"/>
      <c r="SR297" s="120"/>
      <c r="SS297" s="120"/>
      <c r="ST297" s="120"/>
      <c r="SU297" s="120"/>
      <c r="SV297" s="120"/>
      <c r="SW297" s="120"/>
      <c r="SX297" s="120"/>
      <c r="SY297" s="120"/>
      <c r="SZ297" s="120"/>
      <c r="TA297" s="120"/>
      <c r="TB297" s="120"/>
      <c r="TC297" s="120"/>
      <c r="TD297" s="120"/>
      <c r="TE297" s="120"/>
      <c r="TF297" s="120"/>
      <c r="TG297" s="120"/>
      <c r="TH297" s="120"/>
      <c r="TI297" s="120"/>
      <c r="TJ297" s="120"/>
      <c r="TK297" s="120"/>
      <c r="TL297" s="120"/>
      <c r="TM297" s="120"/>
      <c r="TN297" s="120"/>
      <c r="TO297" s="120"/>
      <c r="TP297" s="120"/>
      <c r="TQ297" s="120"/>
      <c r="TR297" s="120"/>
      <c r="TS297" s="120"/>
      <c r="TT297" s="120"/>
      <c r="TU297" s="120"/>
      <c r="TV297" s="120"/>
      <c r="TW297" s="120"/>
      <c r="TX297" s="120"/>
      <c r="TY297" s="120"/>
      <c r="TZ297" s="120"/>
      <c r="UA297" s="120"/>
      <c r="UB297" s="120"/>
      <c r="UC297" s="120"/>
      <c r="UD297" s="120"/>
      <c r="UE297" s="120"/>
      <c r="UF297" s="120"/>
      <c r="UG297" s="120"/>
      <c r="UH297" s="120"/>
      <c r="UI297" s="120"/>
      <c r="UJ297" s="120"/>
      <c r="UK297" s="120"/>
      <c r="UL297" s="120"/>
      <c r="UM297" s="120"/>
      <c r="UN297" s="120"/>
      <c r="UO297" s="120"/>
      <c r="UP297" s="120"/>
      <c r="UQ297" s="120"/>
      <c r="UR297" s="120"/>
      <c r="US297" s="120"/>
      <c r="UT297" s="120"/>
      <c r="UU297" s="120"/>
      <c r="UV297" s="120"/>
      <c r="UW297" s="120"/>
      <c r="UX297" s="120"/>
      <c r="UY297" s="120"/>
      <c r="UZ297" s="120"/>
      <c r="VA297" s="120"/>
      <c r="VB297" s="120"/>
      <c r="VC297" s="120"/>
      <c r="VD297" s="120"/>
      <c r="VE297" s="120"/>
      <c r="VF297" s="120"/>
      <c r="VG297" s="120"/>
      <c r="VH297" s="120"/>
      <c r="VI297" s="120"/>
      <c r="VJ297" s="120"/>
      <c r="VK297" s="120"/>
      <c r="VL297" s="120"/>
      <c r="VM297" s="120"/>
      <c r="VN297" s="120"/>
      <c r="VO297" s="120"/>
      <c r="VP297" s="120"/>
      <c r="VQ297" s="120"/>
      <c r="VR297" s="120"/>
      <c r="VS297" s="120"/>
      <c r="VT297" s="120"/>
      <c r="VU297" s="120"/>
      <c r="VV297" s="120"/>
      <c r="VW297" s="120"/>
      <c r="VX297" s="120"/>
      <c r="VY297" s="120"/>
      <c r="VZ297" s="120"/>
      <c r="WA297" s="120"/>
      <c r="WB297" s="120"/>
      <c r="WC297" s="120"/>
      <c r="WD297" s="120"/>
      <c r="WE297" s="120"/>
      <c r="WF297" s="120"/>
      <c r="WG297" s="120"/>
      <c r="WH297" s="120"/>
      <c r="WI297" s="120"/>
      <c r="WJ297" s="120"/>
      <c r="WK297" s="120"/>
      <c r="WL297" s="120"/>
      <c r="WM297" s="120"/>
      <c r="WN297" s="120"/>
      <c r="WO297" s="120"/>
      <c r="WP297" s="120"/>
      <c r="WQ297" s="120"/>
      <c r="WR297" s="120"/>
      <c r="WS297" s="120"/>
      <c r="WT297" s="120"/>
      <c r="WU297" s="120"/>
      <c r="WV297" s="120"/>
      <c r="WW297" s="120"/>
      <c r="WX297" s="120"/>
      <c r="WY297" s="120"/>
      <c r="WZ297" s="120"/>
      <c r="XA297" s="120"/>
      <c r="XB297" s="120"/>
      <c r="XC297" s="120"/>
      <c r="XD297" s="120"/>
      <c r="XE297" s="120"/>
      <c r="XF297" s="120"/>
      <c r="XG297" s="120"/>
      <c r="XH297" s="120"/>
      <c r="XI297" s="120"/>
      <c r="XJ297" s="120"/>
      <c r="XK297" s="120"/>
      <c r="XL297" s="120"/>
      <c r="XM297" s="120"/>
      <c r="XN297" s="120"/>
      <c r="XO297" s="120"/>
      <c r="XP297" s="120"/>
      <c r="XQ297" s="120"/>
      <c r="XR297" s="120"/>
      <c r="XS297" s="120"/>
      <c r="XT297" s="120"/>
      <c r="XU297" s="120"/>
      <c r="XV297" s="120"/>
      <c r="XW297" s="120"/>
      <c r="XX297" s="120"/>
      <c r="XY297" s="120"/>
      <c r="XZ297" s="120"/>
      <c r="YA297" s="120"/>
      <c r="YB297" s="120"/>
      <c r="YC297" s="120"/>
      <c r="YD297" s="120"/>
      <c r="YE297" s="120"/>
      <c r="YF297" s="120"/>
      <c r="YG297" s="120"/>
      <c r="YH297" s="120"/>
      <c r="YI297" s="120"/>
      <c r="YJ297" s="120"/>
      <c r="YK297" s="120"/>
      <c r="YL297" s="120"/>
      <c r="YM297" s="120"/>
      <c r="YN297" s="120"/>
      <c r="YO297" s="120"/>
      <c r="YP297" s="120"/>
      <c r="YQ297" s="120"/>
      <c r="YR297" s="120"/>
      <c r="YS297" s="120"/>
      <c r="YT297" s="120"/>
      <c r="YU297" s="120"/>
      <c r="YV297" s="120"/>
      <c r="YW297" s="120"/>
      <c r="YX297" s="120"/>
      <c r="YY297" s="120"/>
      <c r="YZ297" s="120"/>
      <c r="ZA297" s="120"/>
      <c r="ZB297" s="120"/>
      <c r="ZC297" s="120"/>
      <c r="ZD297" s="120"/>
      <c r="ZE297" s="120"/>
      <c r="ZF297" s="120"/>
      <c r="ZG297" s="120"/>
      <c r="ZH297" s="120"/>
      <c r="ZI297" s="120"/>
      <c r="ZJ297" s="120"/>
      <c r="ZK297" s="120"/>
      <c r="ZL297" s="120"/>
      <c r="ZM297" s="120"/>
      <c r="ZN297" s="120"/>
      <c r="ZO297" s="120"/>
      <c r="ZP297" s="120"/>
      <c r="ZQ297" s="120"/>
      <c r="ZR297" s="120"/>
      <c r="ZS297" s="120"/>
      <c r="ZT297" s="120"/>
      <c r="ZU297" s="120"/>
      <c r="ZV297" s="120"/>
      <c r="ZW297" s="120"/>
      <c r="ZX297" s="120"/>
      <c r="ZY297" s="120"/>
      <c r="ZZ297" s="120"/>
      <c r="AAA297" s="120"/>
      <c r="AAB297" s="120"/>
      <c r="AAC297" s="120"/>
      <c r="AAD297" s="120"/>
      <c r="AAE297" s="120"/>
      <c r="AAF297" s="120"/>
      <c r="AAG297" s="120"/>
      <c r="AAH297" s="120"/>
      <c r="AAI297" s="120"/>
      <c r="AAJ297" s="120"/>
      <c r="AAK297" s="120"/>
      <c r="AAL297" s="120"/>
      <c r="AAM297" s="120"/>
      <c r="AAN297" s="120"/>
      <c r="AAO297" s="120"/>
      <c r="AAP297" s="120"/>
      <c r="AAQ297" s="120"/>
      <c r="AAR297" s="120"/>
      <c r="AAS297" s="120"/>
      <c r="AAT297" s="120"/>
      <c r="AAU297" s="120"/>
      <c r="AAV297" s="120"/>
      <c r="AAW297" s="120"/>
      <c r="AAX297" s="120"/>
      <c r="AAY297" s="120"/>
      <c r="AAZ297" s="120"/>
      <c r="ABA297" s="120"/>
      <c r="ABB297" s="120"/>
      <c r="ABC297" s="120"/>
      <c r="ABD297" s="120"/>
      <c r="ABE297" s="120"/>
      <c r="ABF297" s="120"/>
      <c r="ABG297" s="120"/>
      <c r="ABH297" s="120"/>
      <c r="ABI297" s="120"/>
      <c r="ABJ297" s="120"/>
      <c r="ABK297" s="120"/>
      <c r="ABL297" s="120"/>
      <c r="ABM297" s="120"/>
      <c r="ABN297" s="120"/>
      <c r="ABO297" s="120"/>
      <c r="ABP297" s="120"/>
      <c r="ABQ297" s="120"/>
      <c r="ABR297" s="120"/>
      <c r="ABS297" s="120"/>
      <c r="ABT297" s="120"/>
      <c r="ABU297" s="120"/>
      <c r="ABV297" s="120"/>
      <c r="ABW297" s="120"/>
      <c r="ABX297" s="120"/>
      <c r="ABY297" s="120"/>
      <c r="ABZ297" s="120"/>
      <c r="ACA297" s="120"/>
      <c r="ACB297" s="120"/>
      <c r="ACC297" s="120"/>
      <c r="ACD297" s="120"/>
      <c r="ACE297" s="120"/>
      <c r="ACF297" s="120"/>
      <c r="ACG297" s="120"/>
      <c r="ACH297" s="120"/>
      <c r="ACI297" s="120"/>
      <c r="ACJ297" s="120"/>
      <c r="ACK297" s="120"/>
      <c r="ACL297" s="120"/>
      <c r="ACM297" s="120"/>
      <c r="ACN297" s="120"/>
      <c r="ACO297" s="120"/>
      <c r="ACP297" s="120"/>
      <c r="ACQ297" s="120"/>
      <c r="ACR297" s="120"/>
      <c r="ACS297" s="120"/>
      <c r="ACT297" s="120"/>
      <c r="ACU297" s="120"/>
      <c r="ACV297" s="120"/>
      <c r="ACW297" s="120"/>
      <c r="ACX297" s="120"/>
      <c r="ACY297" s="120"/>
      <c r="ACZ297" s="120"/>
      <c r="ADA297" s="120"/>
      <c r="ADB297" s="120"/>
      <c r="ADC297" s="120"/>
      <c r="ADD297" s="120"/>
      <c r="ADE297" s="120"/>
      <c r="ADF297" s="120"/>
      <c r="ADG297" s="120"/>
      <c r="ADH297" s="120"/>
      <c r="ADI297" s="120"/>
      <c r="ADJ297" s="120"/>
      <c r="ADK297" s="120"/>
      <c r="ADL297" s="120"/>
      <c r="ADM297" s="120"/>
      <c r="ADN297" s="120"/>
      <c r="ADO297" s="120"/>
      <c r="ADP297" s="120"/>
      <c r="ADQ297" s="120"/>
      <c r="ADR297" s="120"/>
      <c r="ADS297" s="120"/>
      <c r="ADT297" s="120"/>
      <c r="ADU297" s="120"/>
      <c r="ADV297" s="120"/>
      <c r="ADW297" s="120"/>
      <c r="ADX297" s="120"/>
      <c r="ADY297" s="120"/>
      <c r="ADZ297" s="120"/>
      <c r="AEA297" s="120"/>
      <c r="AEB297" s="120"/>
      <c r="AEC297" s="120"/>
      <c r="AED297" s="120"/>
      <c r="AEE297" s="120"/>
      <c r="AEF297" s="120"/>
      <c r="AEG297" s="120"/>
      <c r="AEH297" s="120"/>
      <c r="AEI297" s="120"/>
      <c r="AEJ297" s="120"/>
      <c r="AEK297" s="120"/>
      <c r="AEL297" s="120"/>
      <c r="AEM297" s="120"/>
      <c r="AEN297" s="120"/>
      <c r="AEO297" s="120"/>
      <c r="AEP297" s="120"/>
      <c r="AEQ297" s="120"/>
      <c r="AER297" s="120"/>
      <c r="AES297" s="120"/>
      <c r="AET297" s="120"/>
      <c r="AEU297" s="120"/>
      <c r="AEV297" s="120"/>
      <c r="AEW297" s="120"/>
      <c r="AEX297" s="120"/>
      <c r="AEY297" s="120"/>
      <c r="AEZ297" s="120"/>
      <c r="AFA297" s="120"/>
      <c r="AFB297" s="120"/>
      <c r="AFC297" s="120"/>
      <c r="AFD297" s="120"/>
      <c r="AFE297" s="120"/>
      <c r="AFF297" s="120"/>
      <c r="AFG297" s="120"/>
      <c r="AFH297" s="120"/>
      <c r="AFI297" s="120"/>
      <c r="AFJ297" s="120"/>
      <c r="AFK297" s="120"/>
      <c r="AFL297" s="120"/>
      <c r="AFM297" s="120"/>
      <c r="AFN297" s="120"/>
      <c r="AFO297" s="120"/>
      <c r="AFP297" s="120"/>
      <c r="AFQ297" s="120"/>
      <c r="AFR297" s="120"/>
      <c r="AFS297" s="120"/>
      <c r="AFT297" s="120"/>
      <c r="AFU297" s="120"/>
      <c r="AFV297" s="120"/>
      <c r="AFW297" s="120"/>
      <c r="AFX297" s="120"/>
      <c r="AFY297" s="120"/>
      <c r="AFZ297" s="120"/>
      <c r="AGA297" s="120"/>
      <c r="AGB297" s="120"/>
      <c r="AGC297" s="120"/>
      <c r="AGD297" s="120"/>
      <c r="AGE297" s="120"/>
      <c r="AGF297" s="120"/>
      <c r="AGG297" s="120"/>
      <c r="AGH297" s="120"/>
      <c r="AGI297" s="120"/>
      <c r="AGJ297" s="120"/>
      <c r="AGK297" s="120"/>
      <c r="AGL297" s="120"/>
      <c r="AGM297" s="120"/>
      <c r="AGN297" s="120"/>
      <c r="AGO297" s="120"/>
      <c r="AGP297" s="120"/>
      <c r="AGQ297" s="120"/>
      <c r="AGR297" s="120"/>
      <c r="AGS297" s="120"/>
      <c r="AGT297" s="120"/>
      <c r="AGU297" s="120"/>
      <c r="AGV297" s="120"/>
      <c r="AGW297" s="120"/>
      <c r="AGX297" s="120"/>
      <c r="AGY297" s="120"/>
      <c r="AGZ297" s="120"/>
      <c r="AHA297" s="120"/>
      <c r="AHB297" s="120"/>
      <c r="AHC297" s="120"/>
      <c r="AHD297" s="120"/>
      <c r="AHE297" s="120"/>
      <c r="AHF297" s="120"/>
      <c r="AHG297" s="120"/>
      <c r="AHH297" s="120"/>
      <c r="AHI297" s="120"/>
      <c r="AHJ297" s="120"/>
      <c r="AHK297" s="120"/>
      <c r="AHL297" s="120"/>
      <c r="AHM297" s="120"/>
      <c r="AHN297" s="120"/>
      <c r="AHO297" s="120"/>
      <c r="AHP297" s="120"/>
      <c r="AHQ297" s="120"/>
      <c r="AHR297" s="120"/>
      <c r="AHS297" s="120"/>
      <c r="AHT297" s="120"/>
      <c r="AHU297" s="120"/>
      <c r="AHV297" s="120"/>
      <c r="AHW297" s="120"/>
      <c r="AHX297" s="120"/>
      <c r="AHY297" s="120"/>
      <c r="AHZ297" s="120"/>
      <c r="AIA297" s="120"/>
      <c r="AIB297" s="120"/>
      <c r="AIC297" s="120"/>
      <c r="AID297" s="120"/>
      <c r="AIE297" s="120"/>
      <c r="AIF297" s="120"/>
      <c r="AIG297" s="120"/>
      <c r="AIH297" s="120"/>
      <c r="AII297" s="120"/>
      <c r="AIJ297" s="120"/>
      <c r="AIK297" s="120"/>
      <c r="AIL297" s="120"/>
      <c r="AIM297" s="120"/>
      <c r="AIN297" s="120"/>
      <c r="AIO297" s="120"/>
      <c r="AIP297" s="120"/>
      <c r="AIQ297" s="120"/>
      <c r="AIR297" s="120"/>
      <c r="AIS297" s="120"/>
      <c r="AIT297" s="120"/>
      <c r="AIU297" s="120"/>
      <c r="AIV297" s="120"/>
      <c r="AIW297" s="120"/>
      <c r="AIX297" s="120"/>
      <c r="AIY297" s="120"/>
      <c r="AIZ297" s="120"/>
      <c r="AJA297" s="120"/>
      <c r="AJB297" s="120"/>
      <c r="AJC297" s="120"/>
      <c r="AJD297" s="120"/>
      <c r="AJE297" s="120"/>
      <c r="AJF297" s="120"/>
      <c r="AJG297" s="120"/>
      <c r="AJH297" s="120"/>
      <c r="AJI297" s="120"/>
      <c r="AJJ297" s="120"/>
      <c r="AJK297" s="120"/>
      <c r="AJL297" s="120"/>
      <c r="AJM297" s="120"/>
      <c r="AJN297" s="120"/>
      <c r="AJO297" s="120"/>
      <c r="AJP297" s="120"/>
      <c r="AJQ297" s="120"/>
      <c r="AJR297" s="120"/>
      <c r="AJS297" s="120"/>
      <c r="AJT297" s="120"/>
      <c r="AJU297" s="120"/>
      <c r="AJV297" s="120"/>
      <c r="AJW297" s="120"/>
      <c r="AJX297" s="120"/>
      <c r="AJY297" s="120"/>
      <c r="AJZ297" s="120"/>
      <c r="AKA297" s="120"/>
      <c r="AKB297" s="120"/>
      <c r="AKC297" s="120"/>
      <c r="AKD297" s="120"/>
      <c r="AKE297" s="120"/>
      <c r="AKF297" s="120"/>
      <c r="AKG297" s="120"/>
      <c r="AKH297" s="120"/>
      <c r="AKI297" s="120"/>
      <c r="AKJ297" s="120"/>
      <c r="AKK297" s="120"/>
      <c r="AKL297" s="120"/>
      <c r="AKM297" s="120"/>
      <c r="AKN297" s="120"/>
      <c r="AKO297" s="120"/>
      <c r="AKP297" s="120"/>
      <c r="AKQ297" s="120"/>
      <c r="AKR297" s="120"/>
      <c r="AKS297" s="120"/>
      <c r="AKT297" s="120"/>
      <c r="AKU297" s="120"/>
      <c r="AKV297" s="120"/>
      <c r="AKW297" s="120"/>
      <c r="AKX297" s="120"/>
      <c r="AKY297" s="120"/>
      <c r="AKZ297" s="120"/>
      <c r="ALA297" s="120"/>
      <c r="ALB297" s="120"/>
      <c r="ALC297" s="120"/>
      <c r="ALD297" s="120"/>
      <c r="ALE297" s="120"/>
      <c r="ALF297" s="120"/>
      <c r="ALG297" s="120"/>
      <c r="ALH297" s="120"/>
      <c r="ALI297" s="120"/>
      <c r="ALJ297" s="120"/>
      <c r="ALK297" s="120"/>
      <c r="ALL297" s="120"/>
      <c r="ALM297" s="120"/>
      <c r="ALN297" s="120"/>
      <c r="ALO297" s="120"/>
      <c r="ALP297" s="120"/>
      <c r="ALQ297" s="120"/>
      <c r="ALR297" s="120"/>
      <c r="ALS297" s="120"/>
      <c r="ALT297" s="120"/>
      <c r="ALU297" s="120"/>
      <c r="ALV297" s="120"/>
      <c r="ALW297" s="120"/>
      <c r="ALX297" s="120"/>
      <c r="ALY297" s="120"/>
      <c r="ALZ297" s="120"/>
      <c r="AMA297" s="120"/>
      <c r="AMB297" s="120"/>
      <c r="AMC297" s="120"/>
      <c r="AMD297" s="120"/>
      <c r="AME297" s="120"/>
      <c r="AMF297" s="120"/>
      <c r="AMG297" s="120"/>
      <c r="AMH297" s="120"/>
    </row>
    <row r="298" spans="1:1022" s="119" customFormat="1" x14ac:dyDescent="0.25">
      <c r="A298" s="121"/>
      <c r="B298" s="206" t="s">
        <v>288</v>
      </c>
      <c r="C298" s="207"/>
      <c r="D298" s="207"/>
      <c r="E298" s="207"/>
      <c r="F298" s="208"/>
      <c r="G298" s="174"/>
      <c r="H298" s="209" t="s">
        <v>290</v>
      </c>
      <c r="I298" s="210"/>
      <c r="J298" s="210"/>
      <c r="K298" s="210"/>
      <c r="L298" s="211"/>
      <c r="M298" s="120"/>
      <c r="N298" s="120"/>
      <c r="O298" s="120"/>
      <c r="P298" s="120"/>
      <c r="Q298" s="120"/>
      <c r="R298" s="120"/>
      <c r="S298" s="120"/>
      <c r="T298" s="120"/>
      <c r="U298" s="120"/>
      <c r="V298" s="120"/>
      <c r="W298" s="120"/>
      <c r="X298" s="120"/>
      <c r="Y298" s="120"/>
      <c r="Z298" s="120"/>
      <c r="AA298" s="120"/>
      <c r="AB298" s="120"/>
      <c r="AC298" s="120"/>
      <c r="AD298" s="120"/>
      <c r="AE298" s="120"/>
      <c r="AF298" s="120"/>
      <c r="AG298" s="120"/>
      <c r="AH298" s="120"/>
      <c r="AI298" s="120"/>
      <c r="AJ298" s="120"/>
      <c r="AK298" s="120"/>
      <c r="AL298" s="120"/>
      <c r="AM298" s="120"/>
      <c r="AN298" s="120"/>
      <c r="AO298" s="120"/>
      <c r="AP298" s="120"/>
      <c r="AQ298" s="120"/>
      <c r="AR298" s="120"/>
      <c r="AS298" s="120"/>
      <c r="AT298" s="120"/>
      <c r="AU298" s="120"/>
      <c r="AV298" s="120"/>
      <c r="AW298" s="120"/>
      <c r="AX298" s="120"/>
      <c r="AY298" s="120"/>
      <c r="AZ298" s="120"/>
      <c r="BA298" s="120"/>
      <c r="BB298" s="120"/>
      <c r="BC298" s="120"/>
      <c r="BD298" s="120"/>
      <c r="BE298" s="120"/>
      <c r="BF298" s="120"/>
      <c r="BG298" s="120"/>
      <c r="BH298" s="120"/>
      <c r="BI298" s="120"/>
      <c r="BJ298" s="120"/>
      <c r="BK298" s="120"/>
      <c r="BL298" s="120"/>
      <c r="BM298" s="120"/>
      <c r="BN298" s="120"/>
      <c r="BO298" s="120"/>
      <c r="BP298" s="120"/>
      <c r="BQ298" s="120"/>
      <c r="BR298" s="120"/>
      <c r="BS298" s="120"/>
      <c r="BT298" s="120"/>
      <c r="BU298" s="120"/>
      <c r="BV298" s="120"/>
      <c r="BW298" s="120"/>
      <c r="BX298" s="120"/>
      <c r="BY298" s="120"/>
      <c r="BZ298" s="120"/>
      <c r="CA298" s="120"/>
      <c r="CB298" s="120"/>
      <c r="CC298" s="120"/>
      <c r="CD298" s="120"/>
      <c r="CE298" s="120"/>
      <c r="CF298" s="120"/>
      <c r="CG298" s="120"/>
      <c r="CH298" s="120"/>
      <c r="CI298" s="120"/>
      <c r="CJ298" s="120"/>
      <c r="CK298" s="120"/>
      <c r="CL298" s="120"/>
      <c r="CM298" s="120"/>
      <c r="CN298" s="120"/>
      <c r="CO298" s="120"/>
      <c r="CP298" s="120"/>
      <c r="CQ298" s="120"/>
      <c r="CR298" s="120"/>
      <c r="CS298" s="120"/>
      <c r="CT298" s="120"/>
      <c r="CU298" s="120"/>
      <c r="CV298" s="120"/>
      <c r="CW298" s="120"/>
      <c r="CX298" s="120"/>
      <c r="CY298" s="120"/>
      <c r="CZ298" s="120"/>
      <c r="DA298" s="120"/>
      <c r="DB298" s="120"/>
      <c r="DC298" s="120"/>
      <c r="DD298" s="120"/>
      <c r="DE298" s="120"/>
      <c r="DF298" s="120"/>
      <c r="DG298" s="120"/>
      <c r="DH298" s="120"/>
      <c r="DI298" s="120"/>
      <c r="DJ298" s="120"/>
      <c r="DK298" s="120"/>
      <c r="DL298" s="120"/>
      <c r="DM298" s="120"/>
      <c r="DN298" s="120"/>
      <c r="DO298" s="120"/>
      <c r="DP298" s="120"/>
      <c r="DQ298" s="120"/>
      <c r="DR298" s="120"/>
      <c r="DS298" s="120"/>
      <c r="DT298" s="120"/>
      <c r="DU298" s="120"/>
      <c r="DV298" s="120"/>
      <c r="DW298" s="120"/>
      <c r="DX298" s="120"/>
      <c r="DY298" s="120"/>
      <c r="DZ298" s="120"/>
      <c r="EA298" s="120"/>
      <c r="EB298" s="120"/>
      <c r="EC298" s="120"/>
      <c r="ED298" s="120"/>
      <c r="EE298" s="120"/>
      <c r="EF298" s="120"/>
      <c r="EG298" s="120"/>
      <c r="EH298" s="120"/>
      <c r="EI298" s="120"/>
      <c r="EJ298" s="120"/>
      <c r="EK298" s="120"/>
      <c r="EL298" s="120"/>
      <c r="EM298" s="120"/>
      <c r="EN298" s="120"/>
      <c r="EO298" s="120"/>
      <c r="EP298" s="120"/>
      <c r="EQ298" s="120"/>
      <c r="ER298" s="120"/>
      <c r="ES298" s="120"/>
      <c r="ET298" s="120"/>
      <c r="EU298" s="120"/>
      <c r="EV298" s="120"/>
      <c r="EW298" s="120"/>
      <c r="EX298" s="120"/>
      <c r="EY298" s="120"/>
      <c r="EZ298" s="120"/>
      <c r="FA298" s="120"/>
      <c r="FB298" s="120"/>
      <c r="FC298" s="120"/>
      <c r="FD298" s="120"/>
      <c r="FE298" s="120"/>
      <c r="FF298" s="120"/>
      <c r="FG298" s="120"/>
      <c r="FH298" s="120"/>
      <c r="FI298" s="120"/>
      <c r="FJ298" s="120"/>
      <c r="FK298" s="120"/>
      <c r="FL298" s="120"/>
      <c r="FM298" s="120"/>
      <c r="FN298" s="120"/>
      <c r="FO298" s="120"/>
      <c r="FP298" s="120"/>
      <c r="FQ298" s="120"/>
      <c r="FR298" s="120"/>
      <c r="FS298" s="120"/>
      <c r="FT298" s="120"/>
      <c r="FU298" s="120"/>
      <c r="FV298" s="120"/>
      <c r="FW298" s="120"/>
      <c r="FX298" s="120"/>
      <c r="FY298" s="120"/>
      <c r="FZ298" s="120"/>
      <c r="GA298" s="120"/>
      <c r="GB298" s="120"/>
      <c r="GC298" s="120"/>
      <c r="GD298" s="120"/>
      <c r="GE298" s="120"/>
      <c r="GF298" s="120"/>
      <c r="GG298" s="120"/>
      <c r="GH298" s="120"/>
      <c r="GI298" s="120"/>
      <c r="GJ298" s="120"/>
      <c r="GK298" s="120"/>
      <c r="GL298" s="120"/>
      <c r="GM298" s="120"/>
      <c r="GN298" s="120"/>
      <c r="GO298" s="120"/>
      <c r="GP298" s="120"/>
      <c r="GQ298" s="120"/>
      <c r="GR298" s="120"/>
      <c r="GS298" s="120"/>
      <c r="GT298" s="120"/>
      <c r="GU298" s="120"/>
      <c r="GV298" s="120"/>
      <c r="GW298" s="120"/>
      <c r="GX298" s="120"/>
      <c r="GY298" s="120"/>
      <c r="GZ298" s="120"/>
      <c r="HA298" s="120"/>
      <c r="HB298" s="120"/>
      <c r="HC298" s="120"/>
      <c r="HD298" s="120"/>
      <c r="HE298" s="120"/>
      <c r="HF298" s="120"/>
      <c r="HG298" s="120"/>
      <c r="HH298" s="120"/>
      <c r="HI298" s="120"/>
      <c r="HJ298" s="120"/>
      <c r="HK298" s="120"/>
      <c r="HL298" s="120"/>
      <c r="HM298" s="120"/>
      <c r="HN298" s="120"/>
      <c r="HO298" s="120"/>
      <c r="HP298" s="120"/>
      <c r="HQ298" s="120"/>
      <c r="HR298" s="120"/>
      <c r="HS298" s="120"/>
      <c r="HT298" s="120"/>
      <c r="HU298" s="120"/>
      <c r="HV298" s="120"/>
      <c r="HW298" s="120"/>
      <c r="HX298" s="120"/>
      <c r="HY298" s="120"/>
      <c r="HZ298" s="120"/>
      <c r="IA298" s="120"/>
      <c r="IB298" s="120"/>
      <c r="IC298" s="120"/>
      <c r="ID298" s="120"/>
      <c r="IE298" s="120"/>
      <c r="IF298" s="120"/>
      <c r="IG298" s="120"/>
      <c r="IH298" s="120"/>
      <c r="II298" s="120"/>
      <c r="IJ298" s="120"/>
      <c r="IK298" s="120"/>
      <c r="IL298" s="120"/>
      <c r="IM298" s="120"/>
      <c r="IN298" s="120"/>
      <c r="IO298" s="120"/>
      <c r="IP298" s="120"/>
      <c r="IQ298" s="120"/>
      <c r="IR298" s="120"/>
      <c r="IS298" s="120"/>
      <c r="IT298" s="120"/>
      <c r="IU298" s="120"/>
      <c r="IV298" s="120"/>
      <c r="IW298" s="120"/>
      <c r="IX298" s="120"/>
      <c r="IY298" s="120"/>
      <c r="IZ298" s="120"/>
      <c r="JA298" s="120"/>
      <c r="JB298" s="120"/>
      <c r="JC298" s="120"/>
      <c r="JD298" s="120"/>
      <c r="JE298" s="120"/>
      <c r="JF298" s="120"/>
      <c r="JG298" s="120"/>
      <c r="JH298" s="120"/>
      <c r="JI298" s="120"/>
      <c r="JJ298" s="120"/>
      <c r="JK298" s="120"/>
      <c r="JL298" s="120"/>
      <c r="JM298" s="120"/>
      <c r="JN298" s="120"/>
      <c r="JO298" s="120"/>
      <c r="JP298" s="120"/>
      <c r="JQ298" s="120"/>
      <c r="JR298" s="120"/>
      <c r="JS298" s="120"/>
      <c r="JT298" s="120"/>
      <c r="JU298" s="120"/>
      <c r="JV298" s="120"/>
      <c r="JW298" s="120"/>
      <c r="JX298" s="120"/>
      <c r="JY298" s="120"/>
      <c r="JZ298" s="120"/>
      <c r="KA298" s="120"/>
      <c r="KB298" s="120"/>
      <c r="KC298" s="120"/>
      <c r="KD298" s="120"/>
      <c r="KE298" s="120"/>
      <c r="KF298" s="120"/>
      <c r="KG298" s="120"/>
      <c r="KH298" s="120"/>
      <c r="KI298" s="120"/>
      <c r="KJ298" s="120"/>
      <c r="KK298" s="120"/>
      <c r="KL298" s="120"/>
      <c r="KM298" s="120"/>
      <c r="KN298" s="120"/>
      <c r="KO298" s="120"/>
      <c r="KP298" s="120"/>
      <c r="KQ298" s="120"/>
      <c r="KR298" s="120"/>
      <c r="KS298" s="120"/>
      <c r="KT298" s="120"/>
      <c r="KU298" s="120"/>
      <c r="KV298" s="120"/>
      <c r="KW298" s="120"/>
      <c r="KX298" s="120"/>
      <c r="KY298" s="120"/>
      <c r="KZ298" s="120"/>
      <c r="LA298" s="120"/>
      <c r="LB298" s="120"/>
      <c r="LC298" s="120"/>
      <c r="LD298" s="120"/>
      <c r="LE298" s="120"/>
      <c r="LF298" s="120"/>
      <c r="LG298" s="120"/>
      <c r="LH298" s="120"/>
      <c r="LI298" s="120"/>
      <c r="LJ298" s="120"/>
      <c r="LK298" s="120"/>
      <c r="LL298" s="120"/>
      <c r="LM298" s="120"/>
      <c r="LN298" s="120"/>
      <c r="LO298" s="120"/>
      <c r="LP298" s="120"/>
      <c r="LQ298" s="120"/>
      <c r="LR298" s="120"/>
      <c r="LS298" s="120"/>
      <c r="LT298" s="120"/>
      <c r="LU298" s="120"/>
      <c r="LV298" s="120"/>
      <c r="LW298" s="120"/>
      <c r="LX298" s="120"/>
      <c r="LY298" s="120"/>
      <c r="LZ298" s="120"/>
      <c r="MA298" s="120"/>
      <c r="MB298" s="120"/>
      <c r="MC298" s="120"/>
      <c r="MD298" s="120"/>
      <c r="ME298" s="120"/>
      <c r="MF298" s="120"/>
      <c r="MG298" s="120"/>
      <c r="MH298" s="120"/>
      <c r="MI298" s="120"/>
      <c r="MJ298" s="120"/>
      <c r="MK298" s="120"/>
      <c r="ML298" s="120"/>
      <c r="MM298" s="120"/>
      <c r="MN298" s="120"/>
      <c r="MO298" s="120"/>
      <c r="MP298" s="120"/>
      <c r="MQ298" s="120"/>
      <c r="MR298" s="120"/>
      <c r="MS298" s="120"/>
      <c r="MT298" s="120"/>
      <c r="MU298" s="120"/>
      <c r="MV298" s="120"/>
      <c r="MW298" s="120"/>
      <c r="MX298" s="120"/>
      <c r="MY298" s="120"/>
      <c r="MZ298" s="120"/>
      <c r="NA298" s="120"/>
      <c r="NB298" s="120"/>
      <c r="NC298" s="120"/>
      <c r="ND298" s="120"/>
      <c r="NE298" s="120"/>
      <c r="NF298" s="120"/>
      <c r="NG298" s="120"/>
      <c r="NH298" s="120"/>
      <c r="NI298" s="120"/>
      <c r="NJ298" s="120"/>
      <c r="NK298" s="120"/>
      <c r="NL298" s="120"/>
      <c r="NM298" s="120"/>
      <c r="NN298" s="120"/>
      <c r="NO298" s="120"/>
      <c r="NP298" s="120"/>
      <c r="NQ298" s="120"/>
      <c r="NR298" s="120"/>
      <c r="NS298" s="120"/>
      <c r="NT298" s="120"/>
      <c r="NU298" s="120"/>
      <c r="NV298" s="120"/>
      <c r="NW298" s="120"/>
      <c r="NX298" s="120"/>
      <c r="NY298" s="120"/>
      <c r="NZ298" s="120"/>
      <c r="OA298" s="120"/>
      <c r="OB298" s="120"/>
      <c r="OC298" s="120"/>
      <c r="OD298" s="120"/>
      <c r="OE298" s="120"/>
      <c r="OF298" s="120"/>
      <c r="OG298" s="120"/>
      <c r="OH298" s="120"/>
      <c r="OI298" s="120"/>
      <c r="OJ298" s="120"/>
      <c r="OK298" s="120"/>
      <c r="OL298" s="120"/>
      <c r="OM298" s="120"/>
      <c r="ON298" s="120"/>
      <c r="OO298" s="120"/>
      <c r="OP298" s="120"/>
      <c r="OQ298" s="120"/>
      <c r="OR298" s="120"/>
      <c r="OS298" s="120"/>
      <c r="OT298" s="120"/>
      <c r="OU298" s="120"/>
      <c r="OV298" s="120"/>
      <c r="OW298" s="120"/>
      <c r="OX298" s="120"/>
      <c r="OY298" s="120"/>
      <c r="OZ298" s="120"/>
      <c r="PA298" s="120"/>
      <c r="PB298" s="120"/>
      <c r="PC298" s="120"/>
      <c r="PD298" s="120"/>
      <c r="PE298" s="120"/>
      <c r="PF298" s="120"/>
      <c r="PG298" s="120"/>
      <c r="PH298" s="120"/>
      <c r="PI298" s="120"/>
      <c r="PJ298" s="120"/>
      <c r="PK298" s="120"/>
      <c r="PL298" s="120"/>
      <c r="PM298" s="120"/>
      <c r="PN298" s="120"/>
      <c r="PO298" s="120"/>
      <c r="PP298" s="120"/>
      <c r="PQ298" s="120"/>
      <c r="PR298" s="120"/>
      <c r="PS298" s="120"/>
      <c r="PT298" s="120"/>
      <c r="PU298" s="120"/>
      <c r="PV298" s="120"/>
      <c r="PW298" s="120"/>
      <c r="PX298" s="120"/>
      <c r="PY298" s="120"/>
      <c r="PZ298" s="120"/>
      <c r="QA298" s="120"/>
      <c r="QB298" s="120"/>
      <c r="QC298" s="120"/>
      <c r="QD298" s="120"/>
      <c r="QE298" s="120"/>
      <c r="QF298" s="120"/>
      <c r="QG298" s="120"/>
      <c r="QH298" s="120"/>
      <c r="QI298" s="120"/>
      <c r="QJ298" s="120"/>
      <c r="QK298" s="120"/>
      <c r="QL298" s="120"/>
      <c r="QM298" s="120"/>
      <c r="QN298" s="120"/>
      <c r="QO298" s="120"/>
      <c r="QP298" s="120"/>
      <c r="QQ298" s="120"/>
      <c r="QR298" s="120"/>
      <c r="QS298" s="120"/>
      <c r="QT298" s="120"/>
      <c r="QU298" s="120"/>
      <c r="QV298" s="120"/>
      <c r="QW298" s="120"/>
      <c r="QX298" s="120"/>
      <c r="QY298" s="120"/>
      <c r="QZ298" s="120"/>
      <c r="RA298" s="120"/>
      <c r="RB298" s="120"/>
      <c r="RC298" s="120"/>
      <c r="RD298" s="120"/>
      <c r="RE298" s="120"/>
      <c r="RF298" s="120"/>
      <c r="RG298" s="120"/>
      <c r="RH298" s="120"/>
      <c r="RI298" s="120"/>
      <c r="RJ298" s="120"/>
      <c r="RK298" s="120"/>
      <c r="RL298" s="120"/>
      <c r="RM298" s="120"/>
      <c r="RN298" s="120"/>
      <c r="RO298" s="120"/>
      <c r="RP298" s="120"/>
      <c r="RQ298" s="120"/>
      <c r="RR298" s="120"/>
      <c r="RS298" s="120"/>
      <c r="RT298" s="120"/>
      <c r="RU298" s="120"/>
      <c r="RV298" s="120"/>
      <c r="RW298" s="120"/>
      <c r="RX298" s="120"/>
      <c r="RY298" s="120"/>
      <c r="RZ298" s="120"/>
      <c r="SA298" s="120"/>
      <c r="SB298" s="120"/>
      <c r="SC298" s="120"/>
      <c r="SD298" s="120"/>
      <c r="SE298" s="120"/>
      <c r="SF298" s="120"/>
      <c r="SG298" s="120"/>
      <c r="SH298" s="120"/>
      <c r="SI298" s="120"/>
      <c r="SJ298" s="120"/>
      <c r="SK298" s="120"/>
      <c r="SL298" s="120"/>
      <c r="SM298" s="120"/>
      <c r="SN298" s="120"/>
      <c r="SO298" s="120"/>
      <c r="SP298" s="120"/>
      <c r="SQ298" s="120"/>
      <c r="SR298" s="120"/>
      <c r="SS298" s="120"/>
      <c r="ST298" s="120"/>
      <c r="SU298" s="120"/>
      <c r="SV298" s="120"/>
      <c r="SW298" s="120"/>
      <c r="SX298" s="120"/>
      <c r="SY298" s="120"/>
      <c r="SZ298" s="120"/>
      <c r="TA298" s="120"/>
      <c r="TB298" s="120"/>
      <c r="TC298" s="120"/>
      <c r="TD298" s="120"/>
      <c r="TE298" s="120"/>
      <c r="TF298" s="120"/>
      <c r="TG298" s="120"/>
      <c r="TH298" s="120"/>
      <c r="TI298" s="120"/>
      <c r="TJ298" s="120"/>
      <c r="TK298" s="120"/>
      <c r="TL298" s="120"/>
      <c r="TM298" s="120"/>
      <c r="TN298" s="120"/>
      <c r="TO298" s="120"/>
      <c r="TP298" s="120"/>
      <c r="TQ298" s="120"/>
      <c r="TR298" s="120"/>
      <c r="TS298" s="120"/>
      <c r="TT298" s="120"/>
      <c r="TU298" s="120"/>
      <c r="TV298" s="120"/>
      <c r="TW298" s="120"/>
      <c r="TX298" s="120"/>
      <c r="TY298" s="120"/>
      <c r="TZ298" s="120"/>
      <c r="UA298" s="120"/>
      <c r="UB298" s="120"/>
      <c r="UC298" s="120"/>
      <c r="UD298" s="120"/>
      <c r="UE298" s="120"/>
      <c r="UF298" s="120"/>
      <c r="UG298" s="120"/>
      <c r="UH298" s="120"/>
      <c r="UI298" s="120"/>
      <c r="UJ298" s="120"/>
      <c r="UK298" s="120"/>
      <c r="UL298" s="120"/>
      <c r="UM298" s="120"/>
      <c r="UN298" s="120"/>
      <c r="UO298" s="120"/>
      <c r="UP298" s="120"/>
      <c r="UQ298" s="120"/>
      <c r="UR298" s="120"/>
      <c r="US298" s="120"/>
      <c r="UT298" s="120"/>
      <c r="UU298" s="120"/>
      <c r="UV298" s="120"/>
      <c r="UW298" s="120"/>
      <c r="UX298" s="120"/>
      <c r="UY298" s="120"/>
      <c r="UZ298" s="120"/>
      <c r="VA298" s="120"/>
      <c r="VB298" s="120"/>
      <c r="VC298" s="120"/>
      <c r="VD298" s="120"/>
      <c r="VE298" s="120"/>
      <c r="VF298" s="120"/>
      <c r="VG298" s="120"/>
      <c r="VH298" s="120"/>
      <c r="VI298" s="120"/>
      <c r="VJ298" s="120"/>
      <c r="VK298" s="120"/>
      <c r="VL298" s="120"/>
      <c r="VM298" s="120"/>
      <c r="VN298" s="120"/>
      <c r="VO298" s="120"/>
      <c r="VP298" s="120"/>
      <c r="VQ298" s="120"/>
      <c r="VR298" s="120"/>
      <c r="VS298" s="120"/>
      <c r="VT298" s="120"/>
      <c r="VU298" s="120"/>
      <c r="VV298" s="120"/>
      <c r="VW298" s="120"/>
      <c r="VX298" s="120"/>
      <c r="VY298" s="120"/>
      <c r="VZ298" s="120"/>
      <c r="WA298" s="120"/>
      <c r="WB298" s="120"/>
      <c r="WC298" s="120"/>
      <c r="WD298" s="120"/>
      <c r="WE298" s="120"/>
      <c r="WF298" s="120"/>
      <c r="WG298" s="120"/>
      <c r="WH298" s="120"/>
      <c r="WI298" s="120"/>
      <c r="WJ298" s="120"/>
      <c r="WK298" s="120"/>
      <c r="WL298" s="120"/>
      <c r="WM298" s="120"/>
      <c r="WN298" s="120"/>
      <c r="WO298" s="120"/>
      <c r="WP298" s="120"/>
      <c r="WQ298" s="120"/>
      <c r="WR298" s="120"/>
      <c r="WS298" s="120"/>
      <c r="WT298" s="120"/>
      <c r="WU298" s="120"/>
      <c r="WV298" s="120"/>
      <c r="WW298" s="120"/>
      <c r="WX298" s="120"/>
      <c r="WY298" s="120"/>
      <c r="WZ298" s="120"/>
      <c r="XA298" s="120"/>
      <c r="XB298" s="120"/>
      <c r="XC298" s="120"/>
      <c r="XD298" s="120"/>
      <c r="XE298" s="120"/>
      <c r="XF298" s="120"/>
      <c r="XG298" s="120"/>
      <c r="XH298" s="120"/>
      <c r="XI298" s="120"/>
      <c r="XJ298" s="120"/>
      <c r="XK298" s="120"/>
      <c r="XL298" s="120"/>
      <c r="XM298" s="120"/>
      <c r="XN298" s="120"/>
      <c r="XO298" s="120"/>
      <c r="XP298" s="120"/>
      <c r="XQ298" s="120"/>
      <c r="XR298" s="120"/>
      <c r="XS298" s="120"/>
      <c r="XT298" s="120"/>
      <c r="XU298" s="120"/>
      <c r="XV298" s="120"/>
      <c r="XW298" s="120"/>
      <c r="XX298" s="120"/>
      <c r="XY298" s="120"/>
      <c r="XZ298" s="120"/>
      <c r="YA298" s="120"/>
      <c r="YB298" s="120"/>
      <c r="YC298" s="120"/>
      <c r="YD298" s="120"/>
      <c r="YE298" s="120"/>
      <c r="YF298" s="120"/>
      <c r="YG298" s="120"/>
      <c r="YH298" s="120"/>
      <c r="YI298" s="120"/>
      <c r="YJ298" s="120"/>
      <c r="YK298" s="120"/>
      <c r="YL298" s="120"/>
      <c r="YM298" s="120"/>
      <c r="YN298" s="120"/>
      <c r="YO298" s="120"/>
      <c r="YP298" s="120"/>
      <c r="YQ298" s="120"/>
      <c r="YR298" s="120"/>
      <c r="YS298" s="120"/>
      <c r="YT298" s="120"/>
      <c r="YU298" s="120"/>
      <c r="YV298" s="120"/>
      <c r="YW298" s="120"/>
      <c r="YX298" s="120"/>
      <c r="YY298" s="120"/>
      <c r="YZ298" s="120"/>
      <c r="ZA298" s="120"/>
      <c r="ZB298" s="120"/>
      <c r="ZC298" s="120"/>
      <c r="ZD298" s="120"/>
      <c r="ZE298" s="120"/>
      <c r="ZF298" s="120"/>
      <c r="ZG298" s="120"/>
      <c r="ZH298" s="120"/>
      <c r="ZI298" s="120"/>
      <c r="ZJ298" s="120"/>
      <c r="ZK298" s="120"/>
      <c r="ZL298" s="120"/>
      <c r="ZM298" s="120"/>
      <c r="ZN298" s="120"/>
      <c r="ZO298" s="120"/>
      <c r="ZP298" s="120"/>
      <c r="ZQ298" s="120"/>
      <c r="ZR298" s="120"/>
      <c r="ZS298" s="120"/>
      <c r="ZT298" s="120"/>
      <c r="ZU298" s="120"/>
      <c r="ZV298" s="120"/>
      <c r="ZW298" s="120"/>
      <c r="ZX298" s="120"/>
      <c r="ZY298" s="120"/>
      <c r="ZZ298" s="120"/>
      <c r="AAA298" s="120"/>
      <c r="AAB298" s="120"/>
      <c r="AAC298" s="120"/>
      <c r="AAD298" s="120"/>
      <c r="AAE298" s="120"/>
      <c r="AAF298" s="120"/>
      <c r="AAG298" s="120"/>
      <c r="AAH298" s="120"/>
      <c r="AAI298" s="120"/>
      <c r="AAJ298" s="120"/>
      <c r="AAK298" s="120"/>
      <c r="AAL298" s="120"/>
      <c r="AAM298" s="120"/>
      <c r="AAN298" s="120"/>
      <c r="AAO298" s="120"/>
      <c r="AAP298" s="120"/>
      <c r="AAQ298" s="120"/>
      <c r="AAR298" s="120"/>
      <c r="AAS298" s="120"/>
      <c r="AAT298" s="120"/>
      <c r="AAU298" s="120"/>
      <c r="AAV298" s="120"/>
      <c r="AAW298" s="120"/>
      <c r="AAX298" s="120"/>
      <c r="AAY298" s="120"/>
      <c r="AAZ298" s="120"/>
      <c r="ABA298" s="120"/>
      <c r="ABB298" s="120"/>
      <c r="ABC298" s="120"/>
      <c r="ABD298" s="120"/>
      <c r="ABE298" s="120"/>
      <c r="ABF298" s="120"/>
      <c r="ABG298" s="120"/>
      <c r="ABH298" s="120"/>
      <c r="ABI298" s="120"/>
      <c r="ABJ298" s="120"/>
      <c r="ABK298" s="120"/>
      <c r="ABL298" s="120"/>
      <c r="ABM298" s="120"/>
      <c r="ABN298" s="120"/>
      <c r="ABO298" s="120"/>
      <c r="ABP298" s="120"/>
      <c r="ABQ298" s="120"/>
      <c r="ABR298" s="120"/>
      <c r="ABS298" s="120"/>
      <c r="ABT298" s="120"/>
      <c r="ABU298" s="120"/>
      <c r="ABV298" s="120"/>
      <c r="ABW298" s="120"/>
      <c r="ABX298" s="120"/>
      <c r="ABY298" s="120"/>
      <c r="ABZ298" s="120"/>
      <c r="ACA298" s="120"/>
      <c r="ACB298" s="120"/>
      <c r="ACC298" s="120"/>
      <c r="ACD298" s="120"/>
      <c r="ACE298" s="120"/>
      <c r="ACF298" s="120"/>
      <c r="ACG298" s="120"/>
      <c r="ACH298" s="120"/>
      <c r="ACI298" s="120"/>
      <c r="ACJ298" s="120"/>
      <c r="ACK298" s="120"/>
      <c r="ACL298" s="120"/>
      <c r="ACM298" s="120"/>
      <c r="ACN298" s="120"/>
      <c r="ACO298" s="120"/>
      <c r="ACP298" s="120"/>
      <c r="ACQ298" s="120"/>
      <c r="ACR298" s="120"/>
      <c r="ACS298" s="120"/>
      <c r="ACT298" s="120"/>
      <c r="ACU298" s="120"/>
      <c r="ACV298" s="120"/>
      <c r="ACW298" s="120"/>
      <c r="ACX298" s="120"/>
      <c r="ACY298" s="120"/>
      <c r="ACZ298" s="120"/>
      <c r="ADA298" s="120"/>
      <c r="ADB298" s="120"/>
      <c r="ADC298" s="120"/>
      <c r="ADD298" s="120"/>
      <c r="ADE298" s="120"/>
      <c r="ADF298" s="120"/>
      <c r="ADG298" s="120"/>
      <c r="ADH298" s="120"/>
      <c r="ADI298" s="120"/>
      <c r="ADJ298" s="120"/>
      <c r="ADK298" s="120"/>
      <c r="ADL298" s="120"/>
      <c r="ADM298" s="120"/>
      <c r="ADN298" s="120"/>
      <c r="ADO298" s="120"/>
      <c r="ADP298" s="120"/>
      <c r="ADQ298" s="120"/>
      <c r="ADR298" s="120"/>
      <c r="ADS298" s="120"/>
      <c r="ADT298" s="120"/>
      <c r="ADU298" s="120"/>
      <c r="ADV298" s="120"/>
      <c r="ADW298" s="120"/>
      <c r="ADX298" s="120"/>
      <c r="ADY298" s="120"/>
      <c r="ADZ298" s="120"/>
      <c r="AEA298" s="120"/>
      <c r="AEB298" s="120"/>
      <c r="AEC298" s="120"/>
      <c r="AED298" s="120"/>
      <c r="AEE298" s="120"/>
      <c r="AEF298" s="120"/>
      <c r="AEG298" s="120"/>
      <c r="AEH298" s="120"/>
      <c r="AEI298" s="120"/>
      <c r="AEJ298" s="120"/>
      <c r="AEK298" s="120"/>
      <c r="AEL298" s="120"/>
      <c r="AEM298" s="120"/>
      <c r="AEN298" s="120"/>
      <c r="AEO298" s="120"/>
      <c r="AEP298" s="120"/>
      <c r="AEQ298" s="120"/>
      <c r="AER298" s="120"/>
      <c r="AES298" s="120"/>
      <c r="AET298" s="120"/>
      <c r="AEU298" s="120"/>
      <c r="AEV298" s="120"/>
      <c r="AEW298" s="120"/>
      <c r="AEX298" s="120"/>
      <c r="AEY298" s="120"/>
      <c r="AEZ298" s="120"/>
      <c r="AFA298" s="120"/>
      <c r="AFB298" s="120"/>
      <c r="AFC298" s="120"/>
      <c r="AFD298" s="120"/>
      <c r="AFE298" s="120"/>
      <c r="AFF298" s="120"/>
      <c r="AFG298" s="120"/>
      <c r="AFH298" s="120"/>
      <c r="AFI298" s="120"/>
      <c r="AFJ298" s="120"/>
      <c r="AFK298" s="120"/>
      <c r="AFL298" s="120"/>
      <c r="AFM298" s="120"/>
      <c r="AFN298" s="120"/>
      <c r="AFO298" s="120"/>
      <c r="AFP298" s="120"/>
      <c r="AFQ298" s="120"/>
      <c r="AFR298" s="120"/>
      <c r="AFS298" s="120"/>
      <c r="AFT298" s="120"/>
      <c r="AFU298" s="120"/>
      <c r="AFV298" s="120"/>
      <c r="AFW298" s="120"/>
      <c r="AFX298" s="120"/>
      <c r="AFY298" s="120"/>
      <c r="AFZ298" s="120"/>
      <c r="AGA298" s="120"/>
      <c r="AGB298" s="120"/>
      <c r="AGC298" s="120"/>
      <c r="AGD298" s="120"/>
      <c r="AGE298" s="120"/>
      <c r="AGF298" s="120"/>
      <c r="AGG298" s="120"/>
      <c r="AGH298" s="120"/>
      <c r="AGI298" s="120"/>
      <c r="AGJ298" s="120"/>
      <c r="AGK298" s="120"/>
      <c r="AGL298" s="120"/>
      <c r="AGM298" s="120"/>
      <c r="AGN298" s="120"/>
      <c r="AGO298" s="120"/>
      <c r="AGP298" s="120"/>
      <c r="AGQ298" s="120"/>
      <c r="AGR298" s="120"/>
      <c r="AGS298" s="120"/>
      <c r="AGT298" s="120"/>
      <c r="AGU298" s="120"/>
      <c r="AGV298" s="120"/>
      <c r="AGW298" s="120"/>
      <c r="AGX298" s="120"/>
      <c r="AGY298" s="120"/>
      <c r="AGZ298" s="120"/>
      <c r="AHA298" s="120"/>
      <c r="AHB298" s="120"/>
      <c r="AHC298" s="120"/>
      <c r="AHD298" s="120"/>
      <c r="AHE298" s="120"/>
      <c r="AHF298" s="120"/>
      <c r="AHG298" s="120"/>
      <c r="AHH298" s="120"/>
      <c r="AHI298" s="120"/>
      <c r="AHJ298" s="120"/>
      <c r="AHK298" s="120"/>
      <c r="AHL298" s="120"/>
      <c r="AHM298" s="120"/>
      <c r="AHN298" s="120"/>
      <c r="AHO298" s="120"/>
      <c r="AHP298" s="120"/>
      <c r="AHQ298" s="120"/>
      <c r="AHR298" s="120"/>
      <c r="AHS298" s="120"/>
      <c r="AHT298" s="120"/>
      <c r="AHU298" s="120"/>
      <c r="AHV298" s="120"/>
      <c r="AHW298" s="120"/>
      <c r="AHX298" s="120"/>
      <c r="AHY298" s="120"/>
      <c r="AHZ298" s="120"/>
      <c r="AIA298" s="120"/>
      <c r="AIB298" s="120"/>
      <c r="AIC298" s="120"/>
      <c r="AID298" s="120"/>
      <c r="AIE298" s="120"/>
      <c r="AIF298" s="120"/>
      <c r="AIG298" s="120"/>
      <c r="AIH298" s="120"/>
      <c r="AII298" s="120"/>
      <c r="AIJ298" s="120"/>
      <c r="AIK298" s="120"/>
      <c r="AIL298" s="120"/>
      <c r="AIM298" s="120"/>
      <c r="AIN298" s="120"/>
      <c r="AIO298" s="120"/>
      <c r="AIP298" s="120"/>
      <c r="AIQ298" s="120"/>
      <c r="AIR298" s="120"/>
      <c r="AIS298" s="120"/>
      <c r="AIT298" s="120"/>
      <c r="AIU298" s="120"/>
      <c r="AIV298" s="120"/>
      <c r="AIW298" s="120"/>
      <c r="AIX298" s="120"/>
      <c r="AIY298" s="120"/>
      <c r="AIZ298" s="120"/>
      <c r="AJA298" s="120"/>
      <c r="AJB298" s="120"/>
      <c r="AJC298" s="120"/>
      <c r="AJD298" s="120"/>
      <c r="AJE298" s="120"/>
      <c r="AJF298" s="120"/>
      <c r="AJG298" s="120"/>
      <c r="AJH298" s="120"/>
      <c r="AJI298" s="120"/>
      <c r="AJJ298" s="120"/>
      <c r="AJK298" s="120"/>
      <c r="AJL298" s="120"/>
      <c r="AJM298" s="120"/>
      <c r="AJN298" s="120"/>
      <c r="AJO298" s="120"/>
      <c r="AJP298" s="120"/>
      <c r="AJQ298" s="120"/>
      <c r="AJR298" s="120"/>
      <c r="AJS298" s="120"/>
      <c r="AJT298" s="120"/>
      <c r="AJU298" s="120"/>
      <c r="AJV298" s="120"/>
      <c r="AJW298" s="120"/>
      <c r="AJX298" s="120"/>
      <c r="AJY298" s="120"/>
      <c r="AJZ298" s="120"/>
      <c r="AKA298" s="120"/>
      <c r="AKB298" s="120"/>
      <c r="AKC298" s="120"/>
      <c r="AKD298" s="120"/>
      <c r="AKE298" s="120"/>
      <c r="AKF298" s="120"/>
      <c r="AKG298" s="120"/>
      <c r="AKH298" s="120"/>
      <c r="AKI298" s="120"/>
      <c r="AKJ298" s="120"/>
      <c r="AKK298" s="120"/>
      <c r="AKL298" s="120"/>
      <c r="AKM298" s="120"/>
      <c r="AKN298" s="120"/>
      <c r="AKO298" s="120"/>
      <c r="AKP298" s="120"/>
      <c r="AKQ298" s="120"/>
      <c r="AKR298" s="120"/>
      <c r="AKS298" s="120"/>
      <c r="AKT298" s="120"/>
      <c r="AKU298" s="120"/>
      <c r="AKV298" s="120"/>
      <c r="AKW298" s="120"/>
      <c r="AKX298" s="120"/>
      <c r="AKY298" s="120"/>
      <c r="AKZ298" s="120"/>
      <c r="ALA298" s="120"/>
      <c r="ALB298" s="120"/>
      <c r="ALC298" s="120"/>
      <c r="ALD298" s="120"/>
      <c r="ALE298" s="120"/>
      <c r="ALF298" s="120"/>
      <c r="ALG298" s="120"/>
      <c r="ALH298" s="120"/>
      <c r="ALI298" s="120"/>
      <c r="ALJ298" s="120"/>
      <c r="ALK298" s="120"/>
      <c r="ALL298" s="120"/>
      <c r="ALM298" s="120"/>
      <c r="ALN298" s="120"/>
      <c r="ALO298" s="120"/>
      <c r="ALP298" s="120"/>
      <c r="ALQ298" s="120"/>
      <c r="ALR298" s="120"/>
      <c r="ALS298" s="120"/>
      <c r="ALT298" s="120"/>
      <c r="ALU298" s="120"/>
      <c r="ALV298" s="120"/>
      <c r="ALW298" s="120"/>
      <c r="ALX298" s="120"/>
      <c r="ALY298" s="120"/>
      <c r="ALZ298" s="120"/>
      <c r="AMA298" s="120"/>
      <c r="AMB298" s="120"/>
      <c r="AMC298" s="120"/>
      <c r="AMD298" s="120"/>
      <c r="AME298" s="120"/>
      <c r="AMF298" s="120"/>
      <c r="AMG298" s="120"/>
      <c r="AMH298" s="120"/>
    </row>
    <row r="299" spans="1:1022" s="119" customFormat="1" x14ac:dyDescent="0.25">
      <c r="A299" s="121"/>
      <c r="B299" s="230" t="s">
        <v>150</v>
      </c>
      <c r="C299" s="231"/>
      <c r="D299" s="231"/>
      <c r="E299" s="231"/>
      <c r="F299" s="231"/>
      <c r="G299" s="174"/>
      <c r="H299" s="244" t="s">
        <v>146</v>
      </c>
      <c r="I299" s="244"/>
      <c r="J299" s="244"/>
      <c r="K299" s="244"/>
      <c r="L299" s="245"/>
      <c r="M299" s="120"/>
      <c r="N299" s="120"/>
      <c r="O299" s="120"/>
      <c r="P299" s="120"/>
      <c r="Q299" s="120"/>
      <c r="R299" s="120"/>
      <c r="S299" s="120"/>
      <c r="T299" s="120"/>
      <c r="U299" s="120"/>
      <c r="V299" s="120"/>
      <c r="W299" s="120"/>
      <c r="X299" s="120"/>
      <c r="Y299" s="120"/>
      <c r="Z299" s="120"/>
      <c r="AA299" s="120"/>
      <c r="AB299" s="120"/>
      <c r="AC299" s="120"/>
      <c r="AD299" s="120"/>
      <c r="AE299" s="120"/>
      <c r="AF299" s="120"/>
      <c r="AG299" s="120"/>
      <c r="AH299" s="120"/>
      <c r="AI299" s="120"/>
      <c r="AJ299" s="120"/>
      <c r="AK299" s="120"/>
      <c r="AL299" s="120"/>
      <c r="AM299" s="120"/>
      <c r="AN299" s="120"/>
      <c r="AO299" s="120"/>
      <c r="AP299" s="120"/>
      <c r="AQ299" s="120"/>
      <c r="AR299" s="120"/>
      <c r="AS299" s="120"/>
      <c r="AT299" s="120"/>
      <c r="AU299" s="120"/>
      <c r="AV299" s="120"/>
      <c r="AW299" s="120"/>
      <c r="AX299" s="120"/>
      <c r="AY299" s="120"/>
      <c r="AZ299" s="120"/>
      <c r="BA299" s="120"/>
      <c r="BB299" s="120"/>
      <c r="BC299" s="120"/>
      <c r="BD299" s="120"/>
      <c r="BE299" s="120"/>
      <c r="BF299" s="120"/>
      <c r="BG299" s="120"/>
      <c r="BH299" s="120"/>
      <c r="BI299" s="120"/>
      <c r="BJ299" s="120"/>
      <c r="BK299" s="120"/>
      <c r="BL299" s="120"/>
      <c r="BM299" s="120"/>
      <c r="BN299" s="120"/>
      <c r="BO299" s="120"/>
      <c r="BP299" s="120"/>
      <c r="BQ299" s="120"/>
      <c r="BR299" s="120"/>
      <c r="BS299" s="120"/>
      <c r="BT299" s="120"/>
      <c r="BU299" s="120"/>
      <c r="BV299" s="120"/>
      <c r="BW299" s="120"/>
      <c r="BX299" s="120"/>
      <c r="BY299" s="120"/>
      <c r="BZ299" s="120"/>
      <c r="CA299" s="120"/>
      <c r="CB299" s="120"/>
      <c r="CC299" s="120"/>
      <c r="CD299" s="120"/>
      <c r="CE299" s="120"/>
      <c r="CF299" s="120"/>
      <c r="CG299" s="120"/>
      <c r="CH299" s="120"/>
      <c r="CI299" s="120"/>
      <c r="CJ299" s="120"/>
      <c r="CK299" s="120"/>
      <c r="CL299" s="120"/>
      <c r="CM299" s="120"/>
      <c r="CN299" s="120"/>
      <c r="CO299" s="120"/>
      <c r="CP299" s="120"/>
      <c r="CQ299" s="120"/>
      <c r="CR299" s="120"/>
      <c r="CS299" s="120"/>
      <c r="CT299" s="120"/>
      <c r="CU299" s="120"/>
      <c r="CV299" s="120"/>
      <c r="CW299" s="120"/>
      <c r="CX299" s="120"/>
      <c r="CY299" s="120"/>
      <c r="CZ299" s="120"/>
      <c r="DA299" s="120"/>
      <c r="DB299" s="120"/>
      <c r="DC299" s="120"/>
      <c r="DD299" s="120"/>
      <c r="DE299" s="120"/>
      <c r="DF299" s="120"/>
      <c r="DG299" s="120"/>
      <c r="DH299" s="120"/>
      <c r="DI299" s="120"/>
      <c r="DJ299" s="120"/>
      <c r="DK299" s="120"/>
      <c r="DL299" s="120"/>
      <c r="DM299" s="120"/>
      <c r="DN299" s="120"/>
      <c r="DO299" s="120"/>
      <c r="DP299" s="120"/>
      <c r="DQ299" s="120"/>
      <c r="DR299" s="120"/>
      <c r="DS299" s="120"/>
      <c r="DT299" s="120"/>
      <c r="DU299" s="120"/>
      <c r="DV299" s="120"/>
      <c r="DW299" s="120"/>
      <c r="DX299" s="120"/>
      <c r="DY299" s="120"/>
      <c r="DZ299" s="120"/>
      <c r="EA299" s="120"/>
      <c r="EB299" s="120"/>
      <c r="EC299" s="120"/>
      <c r="ED299" s="120"/>
      <c r="EE299" s="120"/>
      <c r="EF299" s="120"/>
      <c r="EG299" s="120"/>
      <c r="EH299" s="120"/>
      <c r="EI299" s="120"/>
      <c r="EJ299" s="120"/>
      <c r="EK299" s="120"/>
      <c r="EL299" s="120"/>
      <c r="EM299" s="120"/>
      <c r="EN299" s="120"/>
      <c r="EO299" s="120"/>
      <c r="EP299" s="120"/>
      <c r="EQ299" s="120"/>
      <c r="ER299" s="120"/>
      <c r="ES299" s="120"/>
      <c r="ET299" s="120"/>
      <c r="EU299" s="120"/>
      <c r="EV299" s="120"/>
      <c r="EW299" s="120"/>
      <c r="EX299" s="120"/>
      <c r="EY299" s="120"/>
      <c r="EZ299" s="120"/>
      <c r="FA299" s="120"/>
      <c r="FB299" s="120"/>
      <c r="FC299" s="120"/>
      <c r="FD299" s="120"/>
      <c r="FE299" s="120"/>
      <c r="FF299" s="120"/>
      <c r="FG299" s="120"/>
      <c r="FH299" s="120"/>
      <c r="FI299" s="120"/>
      <c r="FJ299" s="120"/>
      <c r="FK299" s="120"/>
      <c r="FL299" s="120"/>
      <c r="FM299" s="120"/>
      <c r="FN299" s="120"/>
      <c r="FO299" s="120"/>
      <c r="FP299" s="120"/>
      <c r="FQ299" s="120"/>
      <c r="FR299" s="120"/>
      <c r="FS299" s="120"/>
      <c r="FT299" s="120"/>
      <c r="FU299" s="120"/>
      <c r="FV299" s="120"/>
      <c r="FW299" s="120"/>
      <c r="FX299" s="120"/>
      <c r="FY299" s="120"/>
      <c r="FZ299" s="120"/>
      <c r="GA299" s="120"/>
      <c r="GB299" s="120"/>
      <c r="GC299" s="120"/>
      <c r="GD299" s="120"/>
      <c r="GE299" s="120"/>
      <c r="GF299" s="120"/>
      <c r="GG299" s="120"/>
      <c r="GH299" s="120"/>
      <c r="GI299" s="120"/>
      <c r="GJ299" s="120"/>
      <c r="GK299" s="120"/>
      <c r="GL299" s="120"/>
      <c r="GM299" s="120"/>
      <c r="GN299" s="120"/>
      <c r="GO299" s="120"/>
      <c r="GP299" s="120"/>
      <c r="GQ299" s="120"/>
      <c r="GR299" s="120"/>
      <c r="GS299" s="120"/>
      <c r="GT299" s="120"/>
      <c r="GU299" s="120"/>
      <c r="GV299" s="120"/>
      <c r="GW299" s="120"/>
      <c r="GX299" s="120"/>
      <c r="GY299" s="120"/>
      <c r="GZ299" s="120"/>
      <c r="HA299" s="120"/>
      <c r="HB299" s="120"/>
      <c r="HC299" s="120"/>
      <c r="HD299" s="120"/>
      <c r="HE299" s="120"/>
      <c r="HF299" s="120"/>
      <c r="HG299" s="120"/>
      <c r="HH299" s="120"/>
      <c r="HI299" s="120"/>
      <c r="HJ299" s="120"/>
      <c r="HK299" s="120"/>
      <c r="HL299" s="120"/>
      <c r="HM299" s="120"/>
      <c r="HN299" s="120"/>
      <c r="HO299" s="120"/>
      <c r="HP299" s="120"/>
      <c r="HQ299" s="120"/>
      <c r="HR299" s="120"/>
      <c r="HS299" s="120"/>
      <c r="HT299" s="120"/>
      <c r="HU299" s="120"/>
      <c r="HV299" s="120"/>
      <c r="HW299" s="120"/>
      <c r="HX299" s="120"/>
      <c r="HY299" s="120"/>
      <c r="HZ299" s="120"/>
      <c r="IA299" s="120"/>
      <c r="IB299" s="120"/>
      <c r="IC299" s="120"/>
      <c r="ID299" s="120"/>
      <c r="IE299" s="120"/>
      <c r="IF299" s="120"/>
      <c r="IG299" s="120"/>
      <c r="IH299" s="120"/>
      <c r="II299" s="120"/>
      <c r="IJ299" s="120"/>
      <c r="IK299" s="120"/>
      <c r="IL299" s="120"/>
      <c r="IM299" s="120"/>
      <c r="IN299" s="120"/>
      <c r="IO299" s="120"/>
      <c r="IP299" s="120"/>
      <c r="IQ299" s="120"/>
      <c r="IR299" s="120"/>
      <c r="IS299" s="120"/>
      <c r="IT299" s="120"/>
      <c r="IU299" s="120"/>
      <c r="IV299" s="120"/>
      <c r="IW299" s="120"/>
      <c r="IX299" s="120"/>
      <c r="IY299" s="120"/>
      <c r="IZ299" s="120"/>
      <c r="JA299" s="120"/>
      <c r="JB299" s="120"/>
      <c r="JC299" s="120"/>
      <c r="JD299" s="120"/>
      <c r="JE299" s="120"/>
      <c r="JF299" s="120"/>
      <c r="JG299" s="120"/>
      <c r="JH299" s="120"/>
      <c r="JI299" s="120"/>
      <c r="JJ299" s="120"/>
      <c r="JK299" s="120"/>
      <c r="JL299" s="120"/>
      <c r="JM299" s="120"/>
      <c r="JN299" s="120"/>
      <c r="JO299" s="120"/>
      <c r="JP299" s="120"/>
      <c r="JQ299" s="120"/>
      <c r="JR299" s="120"/>
      <c r="JS299" s="120"/>
      <c r="JT299" s="120"/>
      <c r="JU299" s="120"/>
      <c r="JV299" s="120"/>
      <c r="JW299" s="120"/>
      <c r="JX299" s="120"/>
      <c r="JY299" s="120"/>
      <c r="JZ299" s="120"/>
      <c r="KA299" s="120"/>
      <c r="KB299" s="120"/>
      <c r="KC299" s="120"/>
      <c r="KD299" s="120"/>
      <c r="KE299" s="120"/>
      <c r="KF299" s="120"/>
      <c r="KG299" s="120"/>
      <c r="KH299" s="120"/>
      <c r="KI299" s="120"/>
      <c r="KJ299" s="120"/>
      <c r="KK299" s="120"/>
      <c r="KL299" s="120"/>
      <c r="KM299" s="120"/>
      <c r="KN299" s="120"/>
      <c r="KO299" s="120"/>
      <c r="KP299" s="120"/>
      <c r="KQ299" s="120"/>
      <c r="KR299" s="120"/>
      <c r="KS299" s="120"/>
      <c r="KT299" s="120"/>
      <c r="KU299" s="120"/>
      <c r="KV299" s="120"/>
      <c r="KW299" s="120"/>
      <c r="KX299" s="120"/>
      <c r="KY299" s="120"/>
      <c r="KZ299" s="120"/>
      <c r="LA299" s="120"/>
      <c r="LB299" s="120"/>
      <c r="LC299" s="120"/>
      <c r="LD299" s="120"/>
      <c r="LE299" s="120"/>
      <c r="LF299" s="120"/>
      <c r="LG299" s="120"/>
      <c r="LH299" s="120"/>
      <c r="LI299" s="120"/>
      <c r="LJ299" s="120"/>
      <c r="LK299" s="120"/>
      <c r="LL299" s="120"/>
      <c r="LM299" s="120"/>
      <c r="LN299" s="120"/>
      <c r="LO299" s="120"/>
      <c r="LP299" s="120"/>
      <c r="LQ299" s="120"/>
      <c r="LR299" s="120"/>
      <c r="LS299" s="120"/>
      <c r="LT299" s="120"/>
      <c r="LU299" s="120"/>
      <c r="LV299" s="120"/>
      <c r="LW299" s="120"/>
      <c r="LX299" s="120"/>
      <c r="LY299" s="120"/>
      <c r="LZ299" s="120"/>
      <c r="MA299" s="120"/>
      <c r="MB299" s="120"/>
      <c r="MC299" s="120"/>
      <c r="MD299" s="120"/>
      <c r="ME299" s="120"/>
      <c r="MF299" s="120"/>
      <c r="MG299" s="120"/>
      <c r="MH299" s="120"/>
      <c r="MI299" s="120"/>
      <c r="MJ299" s="120"/>
      <c r="MK299" s="120"/>
      <c r="ML299" s="120"/>
      <c r="MM299" s="120"/>
      <c r="MN299" s="120"/>
      <c r="MO299" s="120"/>
      <c r="MP299" s="120"/>
      <c r="MQ299" s="120"/>
      <c r="MR299" s="120"/>
      <c r="MS299" s="120"/>
      <c r="MT299" s="120"/>
      <c r="MU299" s="120"/>
      <c r="MV299" s="120"/>
      <c r="MW299" s="120"/>
      <c r="MX299" s="120"/>
      <c r="MY299" s="120"/>
      <c r="MZ299" s="120"/>
      <c r="NA299" s="120"/>
      <c r="NB299" s="120"/>
      <c r="NC299" s="120"/>
      <c r="ND299" s="120"/>
      <c r="NE299" s="120"/>
      <c r="NF299" s="120"/>
      <c r="NG299" s="120"/>
      <c r="NH299" s="120"/>
      <c r="NI299" s="120"/>
      <c r="NJ299" s="120"/>
      <c r="NK299" s="120"/>
      <c r="NL299" s="120"/>
      <c r="NM299" s="120"/>
      <c r="NN299" s="120"/>
      <c r="NO299" s="120"/>
      <c r="NP299" s="120"/>
      <c r="NQ299" s="120"/>
      <c r="NR299" s="120"/>
      <c r="NS299" s="120"/>
      <c r="NT299" s="120"/>
      <c r="NU299" s="120"/>
      <c r="NV299" s="120"/>
      <c r="NW299" s="120"/>
      <c r="NX299" s="120"/>
      <c r="NY299" s="120"/>
      <c r="NZ299" s="120"/>
      <c r="OA299" s="120"/>
      <c r="OB299" s="120"/>
      <c r="OC299" s="120"/>
      <c r="OD299" s="120"/>
      <c r="OE299" s="120"/>
      <c r="OF299" s="120"/>
      <c r="OG299" s="120"/>
      <c r="OH299" s="120"/>
      <c r="OI299" s="120"/>
      <c r="OJ299" s="120"/>
      <c r="OK299" s="120"/>
      <c r="OL299" s="120"/>
      <c r="OM299" s="120"/>
      <c r="ON299" s="120"/>
      <c r="OO299" s="120"/>
      <c r="OP299" s="120"/>
      <c r="OQ299" s="120"/>
      <c r="OR299" s="120"/>
      <c r="OS299" s="120"/>
      <c r="OT299" s="120"/>
      <c r="OU299" s="120"/>
      <c r="OV299" s="120"/>
      <c r="OW299" s="120"/>
      <c r="OX299" s="120"/>
      <c r="OY299" s="120"/>
      <c r="OZ299" s="120"/>
      <c r="PA299" s="120"/>
      <c r="PB299" s="120"/>
      <c r="PC299" s="120"/>
      <c r="PD299" s="120"/>
      <c r="PE299" s="120"/>
      <c r="PF299" s="120"/>
      <c r="PG299" s="120"/>
      <c r="PH299" s="120"/>
      <c r="PI299" s="120"/>
      <c r="PJ299" s="120"/>
      <c r="PK299" s="120"/>
      <c r="PL299" s="120"/>
      <c r="PM299" s="120"/>
      <c r="PN299" s="120"/>
      <c r="PO299" s="120"/>
      <c r="PP299" s="120"/>
      <c r="PQ299" s="120"/>
      <c r="PR299" s="120"/>
      <c r="PS299" s="120"/>
      <c r="PT299" s="120"/>
      <c r="PU299" s="120"/>
      <c r="PV299" s="120"/>
      <c r="PW299" s="120"/>
      <c r="PX299" s="120"/>
      <c r="PY299" s="120"/>
      <c r="PZ299" s="120"/>
      <c r="QA299" s="120"/>
      <c r="QB299" s="120"/>
      <c r="QC299" s="120"/>
      <c r="QD299" s="120"/>
      <c r="QE299" s="120"/>
      <c r="QF299" s="120"/>
      <c r="QG299" s="120"/>
      <c r="QH299" s="120"/>
      <c r="QI299" s="120"/>
      <c r="QJ299" s="120"/>
      <c r="QK299" s="120"/>
      <c r="QL299" s="120"/>
      <c r="QM299" s="120"/>
      <c r="QN299" s="120"/>
      <c r="QO299" s="120"/>
      <c r="QP299" s="120"/>
      <c r="QQ299" s="120"/>
      <c r="QR299" s="120"/>
      <c r="QS299" s="120"/>
      <c r="QT299" s="120"/>
      <c r="QU299" s="120"/>
      <c r="QV299" s="120"/>
      <c r="QW299" s="120"/>
      <c r="QX299" s="120"/>
      <c r="QY299" s="120"/>
      <c r="QZ299" s="120"/>
      <c r="RA299" s="120"/>
      <c r="RB299" s="120"/>
      <c r="RC299" s="120"/>
      <c r="RD299" s="120"/>
      <c r="RE299" s="120"/>
      <c r="RF299" s="120"/>
      <c r="RG299" s="120"/>
      <c r="RH299" s="120"/>
      <c r="RI299" s="120"/>
      <c r="RJ299" s="120"/>
      <c r="RK299" s="120"/>
      <c r="RL299" s="120"/>
      <c r="RM299" s="120"/>
      <c r="RN299" s="120"/>
      <c r="RO299" s="120"/>
      <c r="RP299" s="120"/>
      <c r="RQ299" s="120"/>
      <c r="RR299" s="120"/>
      <c r="RS299" s="120"/>
      <c r="RT299" s="120"/>
      <c r="RU299" s="120"/>
      <c r="RV299" s="120"/>
      <c r="RW299" s="120"/>
      <c r="RX299" s="120"/>
      <c r="RY299" s="120"/>
      <c r="RZ299" s="120"/>
      <c r="SA299" s="120"/>
      <c r="SB299" s="120"/>
      <c r="SC299" s="120"/>
      <c r="SD299" s="120"/>
      <c r="SE299" s="120"/>
      <c r="SF299" s="120"/>
      <c r="SG299" s="120"/>
      <c r="SH299" s="120"/>
      <c r="SI299" s="120"/>
      <c r="SJ299" s="120"/>
      <c r="SK299" s="120"/>
      <c r="SL299" s="120"/>
      <c r="SM299" s="120"/>
      <c r="SN299" s="120"/>
      <c r="SO299" s="120"/>
      <c r="SP299" s="120"/>
      <c r="SQ299" s="120"/>
      <c r="SR299" s="120"/>
      <c r="SS299" s="120"/>
      <c r="ST299" s="120"/>
      <c r="SU299" s="120"/>
      <c r="SV299" s="120"/>
      <c r="SW299" s="120"/>
      <c r="SX299" s="120"/>
      <c r="SY299" s="120"/>
      <c r="SZ299" s="120"/>
      <c r="TA299" s="120"/>
      <c r="TB299" s="120"/>
      <c r="TC299" s="120"/>
      <c r="TD299" s="120"/>
      <c r="TE299" s="120"/>
      <c r="TF299" s="120"/>
      <c r="TG299" s="120"/>
      <c r="TH299" s="120"/>
      <c r="TI299" s="120"/>
      <c r="TJ299" s="120"/>
      <c r="TK299" s="120"/>
      <c r="TL299" s="120"/>
      <c r="TM299" s="120"/>
      <c r="TN299" s="120"/>
      <c r="TO299" s="120"/>
      <c r="TP299" s="120"/>
      <c r="TQ299" s="120"/>
      <c r="TR299" s="120"/>
      <c r="TS299" s="120"/>
      <c r="TT299" s="120"/>
      <c r="TU299" s="120"/>
      <c r="TV299" s="120"/>
      <c r="TW299" s="120"/>
      <c r="TX299" s="120"/>
      <c r="TY299" s="120"/>
      <c r="TZ299" s="120"/>
      <c r="UA299" s="120"/>
      <c r="UB299" s="120"/>
      <c r="UC299" s="120"/>
      <c r="UD299" s="120"/>
      <c r="UE299" s="120"/>
      <c r="UF299" s="120"/>
      <c r="UG299" s="120"/>
      <c r="UH299" s="120"/>
      <c r="UI299" s="120"/>
      <c r="UJ299" s="120"/>
      <c r="UK299" s="120"/>
      <c r="UL299" s="120"/>
      <c r="UM299" s="120"/>
      <c r="UN299" s="120"/>
      <c r="UO299" s="120"/>
      <c r="UP299" s="120"/>
      <c r="UQ299" s="120"/>
      <c r="UR299" s="120"/>
      <c r="US299" s="120"/>
      <c r="UT299" s="120"/>
      <c r="UU299" s="120"/>
      <c r="UV299" s="120"/>
      <c r="UW299" s="120"/>
      <c r="UX299" s="120"/>
      <c r="UY299" s="120"/>
      <c r="UZ299" s="120"/>
      <c r="VA299" s="120"/>
      <c r="VB299" s="120"/>
      <c r="VC299" s="120"/>
      <c r="VD299" s="120"/>
      <c r="VE299" s="120"/>
      <c r="VF299" s="120"/>
      <c r="VG299" s="120"/>
      <c r="VH299" s="120"/>
      <c r="VI299" s="120"/>
      <c r="VJ299" s="120"/>
      <c r="VK299" s="120"/>
      <c r="VL299" s="120"/>
      <c r="VM299" s="120"/>
      <c r="VN299" s="120"/>
      <c r="VO299" s="120"/>
      <c r="VP299" s="120"/>
      <c r="VQ299" s="120"/>
      <c r="VR299" s="120"/>
      <c r="VS299" s="120"/>
      <c r="VT299" s="120"/>
      <c r="VU299" s="120"/>
      <c r="VV299" s="120"/>
      <c r="VW299" s="120"/>
      <c r="VX299" s="120"/>
      <c r="VY299" s="120"/>
      <c r="VZ299" s="120"/>
      <c r="WA299" s="120"/>
      <c r="WB299" s="120"/>
      <c r="WC299" s="120"/>
      <c r="WD299" s="120"/>
      <c r="WE299" s="120"/>
      <c r="WF299" s="120"/>
      <c r="WG299" s="120"/>
      <c r="WH299" s="120"/>
      <c r="WI299" s="120"/>
      <c r="WJ299" s="120"/>
      <c r="WK299" s="120"/>
      <c r="WL299" s="120"/>
      <c r="WM299" s="120"/>
      <c r="WN299" s="120"/>
      <c r="WO299" s="120"/>
      <c r="WP299" s="120"/>
      <c r="WQ299" s="120"/>
      <c r="WR299" s="120"/>
      <c r="WS299" s="120"/>
      <c r="WT299" s="120"/>
      <c r="WU299" s="120"/>
      <c r="WV299" s="120"/>
      <c r="WW299" s="120"/>
      <c r="WX299" s="120"/>
      <c r="WY299" s="120"/>
      <c r="WZ299" s="120"/>
      <c r="XA299" s="120"/>
      <c r="XB299" s="120"/>
      <c r="XC299" s="120"/>
      <c r="XD299" s="120"/>
      <c r="XE299" s="120"/>
      <c r="XF299" s="120"/>
      <c r="XG299" s="120"/>
      <c r="XH299" s="120"/>
      <c r="XI299" s="120"/>
      <c r="XJ299" s="120"/>
      <c r="XK299" s="120"/>
      <c r="XL299" s="120"/>
      <c r="XM299" s="120"/>
      <c r="XN299" s="120"/>
      <c r="XO299" s="120"/>
      <c r="XP299" s="120"/>
      <c r="XQ299" s="120"/>
      <c r="XR299" s="120"/>
      <c r="XS299" s="120"/>
      <c r="XT299" s="120"/>
      <c r="XU299" s="120"/>
      <c r="XV299" s="120"/>
      <c r="XW299" s="120"/>
      <c r="XX299" s="120"/>
      <c r="XY299" s="120"/>
      <c r="XZ299" s="120"/>
      <c r="YA299" s="120"/>
      <c r="YB299" s="120"/>
      <c r="YC299" s="120"/>
      <c r="YD299" s="120"/>
      <c r="YE299" s="120"/>
      <c r="YF299" s="120"/>
      <c r="YG299" s="120"/>
      <c r="YH299" s="120"/>
      <c r="YI299" s="120"/>
      <c r="YJ299" s="120"/>
      <c r="YK299" s="120"/>
      <c r="YL299" s="120"/>
      <c r="YM299" s="120"/>
      <c r="YN299" s="120"/>
      <c r="YO299" s="120"/>
      <c r="YP299" s="120"/>
      <c r="YQ299" s="120"/>
      <c r="YR299" s="120"/>
      <c r="YS299" s="120"/>
      <c r="YT299" s="120"/>
      <c r="YU299" s="120"/>
      <c r="YV299" s="120"/>
      <c r="YW299" s="120"/>
      <c r="YX299" s="120"/>
      <c r="YY299" s="120"/>
      <c r="YZ299" s="120"/>
      <c r="ZA299" s="120"/>
      <c r="ZB299" s="120"/>
      <c r="ZC299" s="120"/>
      <c r="ZD299" s="120"/>
      <c r="ZE299" s="120"/>
      <c r="ZF299" s="120"/>
      <c r="ZG299" s="120"/>
      <c r="ZH299" s="120"/>
      <c r="ZI299" s="120"/>
      <c r="ZJ299" s="120"/>
      <c r="ZK299" s="120"/>
      <c r="ZL299" s="120"/>
      <c r="ZM299" s="120"/>
      <c r="ZN299" s="120"/>
      <c r="ZO299" s="120"/>
      <c r="ZP299" s="120"/>
      <c r="ZQ299" s="120"/>
      <c r="ZR299" s="120"/>
      <c r="ZS299" s="120"/>
      <c r="ZT299" s="120"/>
      <c r="ZU299" s="120"/>
      <c r="ZV299" s="120"/>
      <c r="ZW299" s="120"/>
      <c r="ZX299" s="120"/>
      <c r="ZY299" s="120"/>
      <c r="ZZ299" s="120"/>
      <c r="AAA299" s="120"/>
      <c r="AAB299" s="120"/>
      <c r="AAC299" s="120"/>
      <c r="AAD299" s="120"/>
      <c r="AAE299" s="120"/>
      <c r="AAF299" s="120"/>
      <c r="AAG299" s="120"/>
      <c r="AAH299" s="120"/>
      <c r="AAI299" s="120"/>
      <c r="AAJ299" s="120"/>
      <c r="AAK299" s="120"/>
      <c r="AAL299" s="120"/>
      <c r="AAM299" s="120"/>
      <c r="AAN299" s="120"/>
      <c r="AAO299" s="120"/>
      <c r="AAP299" s="120"/>
      <c r="AAQ299" s="120"/>
      <c r="AAR299" s="120"/>
      <c r="AAS299" s="120"/>
      <c r="AAT299" s="120"/>
      <c r="AAU299" s="120"/>
      <c r="AAV299" s="120"/>
      <c r="AAW299" s="120"/>
      <c r="AAX299" s="120"/>
      <c r="AAY299" s="120"/>
      <c r="AAZ299" s="120"/>
      <c r="ABA299" s="120"/>
      <c r="ABB299" s="120"/>
      <c r="ABC299" s="120"/>
      <c r="ABD299" s="120"/>
      <c r="ABE299" s="120"/>
      <c r="ABF299" s="120"/>
      <c r="ABG299" s="120"/>
      <c r="ABH299" s="120"/>
      <c r="ABI299" s="120"/>
      <c r="ABJ299" s="120"/>
      <c r="ABK299" s="120"/>
      <c r="ABL299" s="120"/>
      <c r="ABM299" s="120"/>
      <c r="ABN299" s="120"/>
      <c r="ABO299" s="120"/>
      <c r="ABP299" s="120"/>
      <c r="ABQ299" s="120"/>
      <c r="ABR299" s="120"/>
      <c r="ABS299" s="120"/>
      <c r="ABT299" s="120"/>
      <c r="ABU299" s="120"/>
      <c r="ABV299" s="120"/>
      <c r="ABW299" s="120"/>
      <c r="ABX299" s="120"/>
      <c r="ABY299" s="120"/>
      <c r="ABZ299" s="120"/>
      <c r="ACA299" s="120"/>
      <c r="ACB299" s="120"/>
      <c r="ACC299" s="120"/>
      <c r="ACD299" s="120"/>
      <c r="ACE299" s="120"/>
      <c r="ACF299" s="120"/>
      <c r="ACG299" s="120"/>
      <c r="ACH299" s="120"/>
      <c r="ACI299" s="120"/>
      <c r="ACJ299" s="120"/>
      <c r="ACK299" s="120"/>
      <c r="ACL299" s="120"/>
      <c r="ACM299" s="120"/>
      <c r="ACN299" s="120"/>
      <c r="ACO299" s="120"/>
      <c r="ACP299" s="120"/>
      <c r="ACQ299" s="120"/>
      <c r="ACR299" s="120"/>
      <c r="ACS299" s="120"/>
      <c r="ACT299" s="120"/>
      <c r="ACU299" s="120"/>
      <c r="ACV299" s="120"/>
      <c r="ACW299" s="120"/>
      <c r="ACX299" s="120"/>
      <c r="ACY299" s="120"/>
      <c r="ACZ299" s="120"/>
      <c r="ADA299" s="120"/>
      <c r="ADB299" s="120"/>
      <c r="ADC299" s="120"/>
      <c r="ADD299" s="120"/>
      <c r="ADE299" s="120"/>
      <c r="ADF299" s="120"/>
      <c r="ADG299" s="120"/>
      <c r="ADH299" s="120"/>
      <c r="ADI299" s="120"/>
      <c r="ADJ299" s="120"/>
      <c r="ADK299" s="120"/>
      <c r="ADL299" s="120"/>
      <c r="ADM299" s="120"/>
      <c r="ADN299" s="120"/>
      <c r="ADO299" s="120"/>
      <c r="ADP299" s="120"/>
      <c r="ADQ299" s="120"/>
      <c r="ADR299" s="120"/>
      <c r="ADS299" s="120"/>
      <c r="ADT299" s="120"/>
      <c r="ADU299" s="120"/>
      <c r="ADV299" s="120"/>
      <c r="ADW299" s="120"/>
      <c r="ADX299" s="120"/>
      <c r="ADY299" s="120"/>
      <c r="ADZ299" s="120"/>
      <c r="AEA299" s="120"/>
      <c r="AEB299" s="120"/>
      <c r="AEC299" s="120"/>
      <c r="AED299" s="120"/>
      <c r="AEE299" s="120"/>
      <c r="AEF299" s="120"/>
      <c r="AEG299" s="120"/>
      <c r="AEH299" s="120"/>
      <c r="AEI299" s="120"/>
      <c r="AEJ299" s="120"/>
      <c r="AEK299" s="120"/>
      <c r="AEL299" s="120"/>
      <c r="AEM299" s="120"/>
      <c r="AEN299" s="120"/>
      <c r="AEO299" s="120"/>
      <c r="AEP299" s="120"/>
      <c r="AEQ299" s="120"/>
      <c r="AER299" s="120"/>
      <c r="AES299" s="120"/>
      <c r="AET299" s="120"/>
      <c r="AEU299" s="120"/>
      <c r="AEV299" s="120"/>
      <c r="AEW299" s="120"/>
      <c r="AEX299" s="120"/>
      <c r="AEY299" s="120"/>
      <c r="AEZ299" s="120"/>
      <c r="AFA299" s="120"/>
      <c r="AFB299" s="120"/>
      <c r="AFC299" s="120"/>
      <c r="AFD299" s="120"/>
      <c r="AFE299" s="120"/>
      <c r="AFF299" s="120"/>
      <c r="AFG299" s="120"/>
      <c r="AFH299" s="120"/>
      <c r="AFI299" s="120"/>
      <c r="AFJ299" s="120"/>
      <c r="AFK299" s="120"/>
      <c r="AFL299" s="120"/>
      <c r="AFM299" s="120"/>
      <c r="AFN299" s="120"/>
      <c r="AFO299" s="120"/>
      <c r="AFP299" s="120"/>
      <c r="AFQ299" s="120"/>
      <c r="AFR299" s="120"/>
      <c r="AFS299" s="120"/>
      <c r="AFT299" s="120"/>
      <c r="AFU299" s="120"/>
      <c r="AFV299" s="120"/>
      <c r="AFW299" s="120"/>
      <c r="AFX299" s="120"/>
      <c r="AFY299" s="120"/>
      <c r="AFZ299" s="120"/>
      <c r="AGA299" s="120"/>
      <c r="AGB299" s="120"/>
      <c r="AGC299" s="120"/>
      <c r="AGD299" s="120"/>
      <c r="AGE299" s="120"/>
      <c r="AGF299" s="120"/>
      <c r="AGG299" s="120"/>
      <c r="AGH299" s="120"/>
      <c r="AGI299" s="120"/>
      <c r="AGJ299" s="120"/>
      <c r="AGK299" s="120"/>
      <c r="AGL299" s="120"/>
      <c r="AGM299" s="120"/>
      <c r="AGN299" s="120"/>
      <c r="AGO299" s="120"/>
      <c r="AGP299" s="120"/>
      <c r="AGQ299" s="120"/>
      <c r="AGR299" s="120"/>
      <c r="AGS299" s="120"/>
      <c r="AGT299" s="120"/>
      <c r="AGU299" s="120"/>
      <c r="AGV299" s="120"/>
      <c r="AGW299" s="120"/>
      <c r="AGX299" s="120"/>
      <c r="AGY299" s="120"/>
      <c r="AGZ299" s="120"/>
      <c r="AHA299" s="120"/>
      <c r="AHB299" s="120"/>
      <c r="AHC299" s="120"/>
      <c r="AHD299" s="120"/>
      <c r="AHE299" s="120"/>
      <c r="AHF299" s="120"/>
      <c r="AHG299" s="120"/>
      <c r="AHH299" s="120"/>
      <c r="AHI299" s="120"/>
      <c r="AHJ299" s="120"/>
      <c r="AHK299" s="120"/>
      <c r="AHL299" s="120"/>
      <c r="AHM299" s="120"/>
      <c r="AHN299" s="120"/>
      <c r="AHO299" s="120"/>
      <c r="AHP299" s="120"/>
      <c r="AHQ299" s="120"/>
      <c r="AHR299" s="120"/>
      <c r="AHS299" s="120"/>
      <c r="AHT299" s="120"/>
      <c r="AHU299" s="120"/>
      <c r="AHV299" s="120"/>
      <c r="AHW299" s="120"/>
      <c r="AHX299" s="120"/>
      <c r="AHY299" s="120"/>
      <c r="AHZ299" s="120"/>
      <c r="AIA299" s="120"/>
      <c r="AIB299" s="120"/>
      <c r="AIC299" s="120"/>
      <c r="AID299" s="120"/>
      <c r="AIE299" s="120"/>
      <c r="AIF299" s="120"/>
      <c r="AIG299" s="120"/>
      <c r="AIH299" s="120"/>
      <c r="AII299" s="120"/>
      <c r="AIJ299" s="120"/>
      <c r="AIK299" s="120"/>
      <c r="AIL299" s="120"/>
      <c r="AIM299" s="120"/>
      <c r="AIN299" s="120"/>
      <c r="AIO299" s="120"/>
      <c r="AIP299" s="120"/>
      <c r="AIQ299" s="120"/>
      <c r="AIR299" s="120"/>
      <c r="AIS299" s="120"/>
      <c r="AIT299" s="120"/>
      <c r="AIU299" s="120"/>
      <c r="AIV299" s="120"/>
      <c r="AIW299" s="120"/>
      <c r="AIX299" s="120"/>
      <c r="AIY299" s="120"/>
      <c r="AIZ299" s="120"/>
      <c r="AJA299" s="120"/>
      <c r="AJB299" s="120"/>
      <c r="AJC299" s="120"/>
      <c r="AJD299" s="120"/>
      <c r="AJE299" s="120"/>
      <c r="AJF299" s="120"/>
      <c r="AJG299" s="120"/>
      <c r="AJH299" s="120"/>
      <c r="AJI299" s="120"/>
      <c r="AJJ299" s="120"/>
      <c r="AJK299" s="120"/>
      <c r="AJL299" s="120"/>
      <c r="AJM299" s="120"/>
      <c r="AJN299" s="120"/>
      <c r="AJO299" s="120"/>
      <c r="AJP299" s="120"/>
      <c r="AJQ299" s="120"/>
      <c r="AJR299" s="120"/>
      <c r="AJS299" s="120"/>
      <c r="AJT299" s="120"/>
      <c r="AJU299" s="120"/>
      <c r="AJV299" s="120"/>
      <c r="AJW299" s="120"/>
      <c r="AJX299" s="120"/>
      <c r="AJY299" s="120"/>
      <c r="AJZ299" s="120"/>
      <c r="AKA299" s="120"/>
      <c r="AKB299" s="120"/>
      <c r="AKC299" s="120"/>
      <c r="AKD299" s="120"/>
      <c r="AKE299" s="120"/>
      <c r="AKF299" s="120"/>
      <c r="AKG299" s="120"/>
      <c r="AKH299" s="120"/>
      <c r="AKI299" s="120"/>
      <c r="AKJ299" s="120"/>
      <c r="AKK299" s="120"/>
      <c r="AKL299" s="120"/>
      <c r="AKM299" s="120"/>
      <c r="AKN299" s="120"/>
      <c r="AKO299" s="120"/>
      <c r="AKP299" s="120"/>
      <c r="AKQ299" s="120"/>
      <c r="AKR299" s="120"/>
      <c r="AKS299" s="120"/>
      <c r="AKT299" s="120"/>
      <c r="AKU299" s="120"/>
      <c r="AKV299" s="120"/>
      <c r="AKW299" s="120"/>
      <c r="AKX299" s="120"/>
      <c r="AKY299" s="120"/>
      <c r="AKZ299" s="120"/>
      <c r="ALA299" s="120"/>
      <c r="ALB299" s="120"/>
      <c r="ALC299" s="120"/>
      <c r="ALD299" s="120"/>
      <c r="ALE299" s="120"/>
      <c r="ALF299" s="120"/>
      <c r="ALG299" s="120"/>
      <c r="ALH299" s="120"/>
      <c r="ALI299" s="120"/>
      <c r="ALJ299" s="120"/>
      <c r="ALK299" s="120"/>
      <c r="ALL299" s="120"/>
      <c r="ALM299" s="120"/>
      <c r="ALN299" s="120"/>
      <c r="ALO299" s="120"/>
      <c r="ALP299" s="120"/>
      <c r="ALQ299" s="120"/>
      <c r="ALR299" s="120"/>
      <c r="ALS299" s="120"/>
      <c r="ALT299" s="120"/>
      <c r="ALU299" s="120"/>
      <c r="ALV299" s="120"/>
      <c r="ALW299" s="120"/>
      <c r="ALX299" s="120"/>
      <c r="ALY299" s="120"/>
      <c r="ALZ299" s="120"/>
      <c r="AMA299" s="120"/>
      <c r="AMB299" s="120"/>
      <c r="AMC299" s="120"/>
      <c r="AMD299" s="120"/>
      <c r="AME299" s="120"/>
      <c r="AMF299" s="120"/>
      <c r="AMG299" s="120"/>
      <c r="AMH299" s="120"/>
    </row>
    <row r="300" spans="1:1022" s="119" customFormat="1" x14ac:dyDescent="0.25">
      <c r="A300" s="121"/>
      <c r="B300" s="230" t="s">
        <v>151</v>
      </c>
      <c r="C300" s="231"/>
      <c r="D300" s="231"/>
      <c r="E300" s="231"/>
      <c r="F300" s="231"/>
      <c r="G300" s="174"/>
      <c r="H300" s="244" t="s">
        <v>289</v>
      </c>
      <c r="I300" s="244"/>
      <c r="J300" s="244"/>
      <c r="K300" s="244"/>
      <c r="L300" s="245"/>
      <c r="M300" s="120"/>
      <c r="N300" s="120"/>
      <c r="O300" s="120"/>
      <c r="P300" s="120"/>
      <c r="Q300" s="120"/>
      <c r="R300" s="120"/>
      <c r="S300" s="120"/>
      <c r="T300" s="120"/>
      <c r="U300" s="120"/>
      <c r="V300" s="120"/>
      <c r="W300" s="120"/>
      <c r="X300" s="120"/>
      <c r="Y300" s="120"/>
      <c r="Z300" s="120"/>
      <c r="AA300" s="120"/>
      <c r="AB300" s="120"/>
      <c r="AC300" s="120"/>
      <c r="AD300" s="120"/>
      <c r="AE300" s="120"/>
      <c r="AF300" s="120"/>
      <c r="AG300" s="120"/>
      <c r="AH300" s="120"/>
      <c r="AI300" s="120"/>
      <c r="AJ300" s="120"/>
      <c r="AK300" s="120"/>
      <c r="AL300" s="120"/>
      <c r="AM300" s="120"/>
      <c r="AN300" s="120"/>
      <c r="AO300" s="120"/>
      <c r="AP300" s="120"/>
      <c r="AQ300" s="120"/>
      <c r="AR300" s="120"/>
      <c r="AS300" s="120"/>
      <c r="AT300" s="120"/>
      <c r="AU300" s="120"/>
      <c r="AV300" s="120"/>
      <c r="AW300" s="120"/>
      <c r="AX300" s="120"/>
      <c r="AY300" s="120"/>
      <c r="AZ300" s="120"/>
      <c r="BA300" s="120"/>
      <c r="BB300" s="120"/>
      <c r="BC300" s="120"/>
      <c r="BD300" s="120"/>
      <c r="BE300" s="120"/>
      <c r="BF300" s="120"/>
      <c r="BG300" s="120"/>
      <c r="BH300" s="120"/>
      <c r="BI300" s="120"/>
      <c r="BJ300" s="120"/>
      <c r="BK300" s="120"/>
      <c r="BL300" s="120"/>
      <c r="BM300" s="120"/>
      <c r="BN300" s="120"/>
      <c r="BO300" s="120"/>
      <c r="BP300" s="120"/>
      <c r="BQ300" s="120"/>
      <c r="BR300" s="120"/>
      <c r="BS300" s="120"/>
      <c r="BT300" s="120"/>
      <c r="BU300" s="120"/>
      <c r="BV300" s="120"/>
      <c r="BW300" s="120"/>
      <c r="BX300" s="120"/>
      <c r="BY300" s="120"/>
      <c r="BZ300" s="120"/>
      <c r="CA300" s="120"/>
      <c r="CB300" s="120"/>
      <c r="CC300" s="120"/>
      <c r="CD300" s="120"/>
      <c r="CE300" s="120"/>
      <c r="CF300" s="120"/>
      <c r="CG300" s="120"/>
      <c r="CH300" s="120"/>
      <c r="CI300" s="120"/>
      <c r="CJ300" s="120"/>
      <c r="CK300" s="120"/>
      <c r="CL300" s="120"/>
      <c r="CM300" s="120"/>
      <c r="CN300" s="120"/>
      <c r="CO300" s="120"/>
      <c r="CP300" s="120"/>
      <c r="CQ300" s="120"/>
      <c r="CR300" s="120"/>
      <c r="CS300" s="120"/>
      <c r="CT300" s="120"/>
      <c r="CU300" s="120"/>
      <c r="CV300" s="120"/>
      <c r="CW300" s="120"/>
      <c r="CX300" s="120"/>
      <c r="CY300" s="120"/>
      <c r="CZ300" s="120"/>
      <c r="DA300" s="120"/>
      <c r="DB300" s="120"/>
      <c r="DC300" s="120"/>
      <c r="DD300" s="120"/>
      <c r="DE300" s="120"/>
      <c r="DF300" s="120"/>
      <c r="DG300" s="120"/>
      <c r="DH300" s="120"/>
      <c r="DI300" s="120"/>
      <c r="DJ300" s="120"/>
      <c r="DK300" s="120"/>
      <c r="DL300" s="120"/>
      <c r="DM300" s="120"/>
      <c r="DN300" s="120"/>
      <c r="DO300" s="120"/>
      <c r="DP300" s="120"/>
      <c r="DQ300" s="120"/>
      <c r="DR300" s="120"/>
      <c r="DS300" s="120"/>
      <c r="DT300" s="120"/>
      <c r="DU300" s="120"/>
      <c r="DV300" s="120"/>
      <c r="DW300" s="120"/>
      <c r="DX300" s="120"/>
      <c r="DY300" s="120"/>
      <c r="DZ300" s="120"/>
      <c r="EA300" s="120"/>
      <c r="EB300" s="120"/>
      <c r="EC300" s="120"/>
      <c r="ED300" s="120"/>
      <c r="EE300" s="120"/>
      <c r="EF300" s="120"/>
      <c r="EG300" s="120"/>
      <c r="EH300" s="120"/>
      <c r="EI300" s="120"/>
      <c r="EJ300" s="120"/>
      <c r="EK300" s="120"/>
      <c r="EL300" s="120"/>
      <c r="EM300" s="120"/>
      <c r="EN300" s="120"/>
      <c r="EO300" s="120"/>
      <c r="EP300" s="120"/>
      <c r="EQ300" s="120"/>
      <c r="ER300" s="120"/>
      <c r="ES300" s="120"/>
      <c r="ET300" s="120"/>
      <c r="EU300" s="120"/>
      <c r="EV300" s="120"/>
      <c r="EW300" s="120"/>
      <c r="EX300" s="120"/>
      <c r="EY300" s="120"/>
      <c r="EZ300" s="120"/>
      <c r="FA300" s="120"/>
      <c r="FB300" s="120"/>
      <c r="FC300" s="120"/>
      <c r="FD300" s="120"/>
      <c r="FE300" s="120"/>
      <c r="FF300" s="120"/>
      <c r="FG300" s="120"/>
      <c r="FH300" s="120"/>
      <c r="FI300" s="120"/>
      <c r="FJ300" s="120"/>
      <c r="FK300" s="120"/>
      <c r="FL300" s="120"/>
      <c r="FM300" s="120"/>
      <c r="FN300" s="120"/>
      <c r="FO300" s="120"/>
      <c r="FP300" s="120"/>
      <c r="FQ300" s="120"/>
      <c r="FR300" s="120"/>
      <c r="FS300" s="120"/>
      <c r="FT300" s="120"/>
      <c r="FU300" s="120"/>
      <c r="FV300" s="120"/>
      <c r="FW300" s="120"/>
      <c r="FX300" s="120"/>
      <c r="FY300" s="120"/>
      <c r="FZ300" s="120"/>
      <c r="GA300" s="120"/>
      <c r="GB300" s="120"/>
      <c r="GC300" s="120"/>
      <c r="GD300" s="120"/>
      <c r="GE300" s="120"/>
      <c r="GF300" s="120"/>
      <c r="GG300" s="120"/>
      <c r="GH300" s="120"/>
      <c r="GI300" s="120"/>
      <c r="GJ300" s="120"/>
      <c r="GK300" s="120"/>
      <c r="GL300" s="120"/>
      <c r="GM300" s="120"/>
      <c r="GN300" s="120"/>
      <c r="GO300" s="120"/>
      <c r="GP300" s="120"/>
      <c r="GQ300" s="120"/>
      <c r="GR300" s="120"/>
      <c r="GS300" s="120"/>
      <c r="GT300" s="120"/>
      <c r="GU300" s="120"/>
      <c r="GV300" s="120"/>
      <c r="GW300" s="120"/>
      <c r="GX300" s="120"/>
      <c r="GY300" s="120"/>
      <c r="GZ300" s="120"/>
      <c r="HA300" s="120"/>
      <c r="HB300" s="120"/>
      <c r="HC300" s="120"/>
      <c r="HD300" s="120"/>
      <c r="HE300" s="120"/>
      <c r="HF300" s="120"/>
      <c r="HG300" s="120"/>
      <c r="HH300" s="120"/>
      <c r="HI300" s="120"/>
      <c r="HJ300" s="120"/>
      <c r="HK300" s="120"/>
      <c r="HL300" s="120"/>
      <c r="HM300" s="120"/>
      <c r="HN300" s="120"/>
      <c r="HO300" s="120"/>
      <c r="HP300" s="120"/>
      <c r="HQ300" s="120"/>
      <c r="HR300" s="120"/>
      <c r="HS300" s="120"/>
      <c r="HT300" s="120"/>
      <c r="HU300" s="120"/>
      <c r="HV300" s="120"/>
      <c r="HW300" s="120"/>
      <c r="HX300" s="120"/>
      <c r="HY300" s="120"/>
      <c r="HZ300" s="120"/>
      <c r="IA300" s="120"/>
      <c r="IB300" s="120"/>
      <c r="IC300" s="120"/>
      <c r="ID300" s="120"/>
      <c r="IE300" s="120"/>
      <c r="IF300" s="120"/>
      <c r="IG300" s="120"/>
      <c r="IH300" s="120"/>
      <c r="II300" s="120"/>
      <c r="IJ300" s="120"/>
      <c r="IK300" s="120"/>
      <c r="IL300" s="120"/>
      <c r="IM300" s="120"/>
      <c r="IN300" s="120"/>
      <c r="IO300" s="120"/>
      <c r="IP300" s="120"/>
      <c r="IQ300" s="120"/>
      <c r="IR300" s="120"/>
      <c r="IS300" s="120"/>
      <c r="IT300" s="120"/>
      <c r="IU300" s="120"/>
      <c r="IV300" s="120"/>
      <c r="IW300" s="120"/>
      <c r="IX300" s="120"/>
      <c r="IY300" s="120"/>
      <c r="IZ300" s="120"/>
      <c r="JA300" s="120"/>
      <c r="JB300" s="120"/>
      <c r="JC300" s="120"/>
      <c r="JD300" s="120"/>
      <c r="JE300" s="120"/>
      <c r="JF300" s="120"/>
      <c r="JG300" s="120"/>
      <c r="JH300" s="120"/>
      <c r="JI300" s="120"/>
      <c r="JJ300" s="120"/>
      <c r="JK300" s="120"/>
      <c r="JL300" s="120"/>
      <c r="JM300" s="120"/>
      <c r="JN300" s="120"/>
      <c r="JO300" s="120"/>
      <c r="JP300" s="120"/>
      <c r="JQ300" s="120"/>
      <c r="JR300" s="120"/>
      <c r="JS300" s="120"/>
      <c r="JT300" s="120"/>
      <c r="JU300" s="120"/>
      <c r="JV300" s="120"/>
      <c r="JW300" s="120"/>
      <c r="JX300" s="120"/>
      <c r="JY300" s="120"/>
      <c r="JZ300" s="120"/>
      <c r="KA300" s="120"/>
      <c r="KB300" s="120"/>
      <c r="KC300" s="120"/>
      <c r="KD300" s="120"/>
      <c r="KE300" s="120"/>
      <c r="KF300" s="120"/>
      <c r="KG300" s="120"/>
      <c r="KH300" s="120"/>
      <c r="KI300" s="120"/>
      <c r="KJ300" s="120"/>
      <c r="KK300" s="120"/>
      <c r="KL300" s="120"/>
      <c r="KM300" s="120"/>
      <c r="KN300" s="120"/>
      <c r="KO300" s="120"/>
      <c r="KP300" s="120"/>
      <c r="KQ300" s="120"/>
      <c r="KR300" s="120"/>
      <c r="KS300" s="120"/>
      <c r="KT300" s="120"/>
      <c r="KU300" s="120"/>
      <c r="KV300" s="120"/>
      <c r="KW300" s="120"/>
      <c r="KX300" s="120"/>
      <c r="KY300" s="120"/>
      <c r="KZ300" s="120"/>
      <c r="LA300" s="120"/>
      <c r="LB300" s="120"/>
      <c r="LC300" s="120"/>
      <c r="LD300" s="120"/>
      <c r="LE300" s="120"/>
      <c r="LF300" s="120"/>
      <c r="LG300" s="120"/>
      <c r="LH300" s="120"/>
      <c r="LI300" s="120"/>
      <c r="LJ300" s="120"/>
      <c r="LK300" s="120"/>
      <c r="LL300" s="120"/>
      <c r="LM300" s="120"/>
      <c r="LN300" s="120"/>
      <c r="LO300" s="120"/>
      <c r="LP300" s="120"/>
      <c r="LQ300" s="120"/>
      <c r="LR300" s="120"/>
      <c r="LS300" s="120"/>
      <c r="LT300" s="120"/>
      <c r="LU300" s="120"/>
      <c r="LV300" s="120"/>
      <c r="LW300" s="120"/>
      <c r="LX300" s="120"/>
      <c r="LY300" s="120"/>
      <c r="LZ300" s="120"/>
      <c r="MA300" s="120"/>
      <c r="MB300" s="120"/>
      <c r="MC300" s="120"/>
      <c r="MD300" s="120"/>
      <c r="ME300" s="120"/>
      <c r="MF300" s="120"/>
      <c r="MG300" s="120"/>
      <c r="MH300" s="120"/>
      <c r="MI300" s="120"/>
      <c r="MJ300" s="120"/>
      <c r="MK300" s="120"/>
      <c r="ML300" s="120"/>
      <c r="MM300" s="120"/>
      <c r="MN300" s="120"/>
      <c r="MO300" s="120"/>
      <c r="MP300" s="120"/>
      <c r="MQ300" s="120"/>
      <c r="MR300" s="120"/>
      <c r="MS300" s="120"/>
      <c r="MT300" s="120"/>
      <c r="MU300" s="120"/>
      <c r="MV300" s="120"/>
      <c r="MW300" s="120"/>
      <c r="MX300" s="120"/>
      <c r="MY300" s="120"/>
      <c r="MZ300" s="120"/>
      <c r="NA300" s="120"/>
      <c r="NB300" s="120"/>
      <c r="NC300" s="120"/>
      <c r="ND300" s="120"/>
      <c r="NE300" s="120"/>
      <c r="NF300" s="120"/>
      <c r="NG300" s="120"/>
      <c r="NH300" s="120"/>
      <c r="NI300" s="120"/>
      <c r="NJ300" s="120"/>
      <c r="NK300" s="120"/>
      <c r="NL300" s="120"/>
      <c r="NM300" s="120"/>
      <c r="NN300" s="120"/>
      <c r="NO300" s="120"/>
      <c r="NP300" s="120"/>
      <c r="NQ300" s="120"/>
      <c r="NR300" s="120"/>
      <c r="NS300" s="120"/>
      <c r="NT300" s="120"/>
      <c r="NU300" s="120"/>
      <c r="NV300" s="120"/>
      <c r="NW300" s="120"/>
      <c r="NX300" s="120"/>
      <c r="NY300" s="120"/>
      <c r="NZ300" s="120"/>
      <c r="OA300" s="120"/>
      <c r="OB300" s="120"/>
      <c r="OC300" s="120"/>
      <c r="OD300" s="120"/>
      <c r="OE300" s="120"/>
      <c r="OF300" s="120"/>
      <c r="OG300" s="120"/>
      <c r="OH300" s="120"/>
      <c r="OI300" s="120"/>
      <c r="OJ300" s="120"/>
      <c r="OK300" s="120"/>
      <c r="OL300" s="120"/>
      <c r="OM300" s="120"/>
      <c r="ON300" s="120"/>
      <c r="OO300" s="120"/>
      <c r="OP300" s="120"/>
      <c r="OQ300" s="120"/>
      <c r="OR300" s="120"/>
      <c r="OS300" s="120"/>
      <c r="OT300" s="120"/>
      <c r="OU300" s="120"/>
      <c r="OV300" s="120"/>
      <c r="OW300" s="120"/>
      <c r="OX300" s="120"/>
      <c r="OY300" s="120"/>
      <c r="OZ300" s="120"/>
      <c r="PA300" s="120"/>
      <c r="PB300" s="120"/>
      <c r="PC300" s="120"/>
      <c r="PD300" s="120"/>
      <c r="PE300" s="120"/>
      <c r="PF300" s="120"/>
      <c r="PG300" s="120"/>
      <c r="PH300" s="120"/>
      <c r="PI300" s="120"/>
      <c r="PJ300" s="120"/>
      <c r="PK300" s="120"/>
      <c r="PL300" s="120"/>
      <c r="PM300" s="120"/>
      <c r="PN300" s="120"/>
      <c r="PO300" s="120"/>
      <c r="PP300" s="120"/>
      <c r="PQ300" s="120"/>
      <c r="PR300" s="120"/>
      <c r="PS300" s="120"/>
      <c r="PT300" s="120"/>
      <c r="PU300" s="120"/>
      <c r="PV300" s="120"/>
      <c r="PW300" s="120"/>
      <c r="PX300" s="120"/>
      <c r="PY300" s="120"/>
      <c r="PZ300" s="120"/>
      <c r="QA300" s="120"/>
      <c r="QB300" s="120"/>
      <c r="QC300" s="120"/>
      <c r="QD300" s="120"/>
      <c r="QE300" s="120"/>
      <c r="QF300" s="120"/>
      <c r="QG300" s="120"/>
      <c r="QH300" s="120"/>
      <c r="QI300" s="120"/>
      <c r="QJ300" s="120"/>
      <c r="QK300" s="120"/>
      <c r="QL300" s="120"/>
      <c r="QM300" s="120"/>
      <c r="QN300" s="120"/>
      <c r="QO300" s="120"/>
      <c r="QP300" s="120"/>
      <c r="QQ300" s="120"/>
      <c r="QR300" s="120"/>
      <c r="QS300" s="120"/>
      <c r="QT300" s="120"/>
      <c r="QU300" s="120"/>
      <c r="QV300" s="120"/>
      <c r="QW300" s="120"/>
      <c r="QX300" s="120"/>
      <c r="QY300" s="120"/>
      <c r="QZ300" s="120"/>
      <c r="RA300" s="120"/>
      <c r="RB300" s="120"/>
      <c r="RC300" s="120"/>
      <c r="RD300" s="120"/>
      <c r="RE300" s="120"/>
      <c r="RF300" s="120"/>
      <c r="RG300" s="120"/>
      <c r="RH300" s="120"/>
      <c r="RI300" s="120"/>
      <c r="RJ300" s="120"/>
      <c r="RK300" s="120"/>
      <c r="RL300" s="120"/>
      <c r="RM300" s="120"/>
      <c r="RN300" s="120"/>
      <c r="RO300" s="120"/>
      <c r="RP300" s="120"/>
      <c r="RQ300" s="120"/>
      <c r="RR300" s="120"/>
      <c r="RS300" s="120"/>
      <c r="RT300" s="120"/>
      <c r="RU300" s="120"/>
      <c r="RV300" s="120"/>
      <c r="RW300" s="120"/>
      <c r="RX300" s="120"/>
      <c r="RY300" s="120"/>
      <c r="RZ300" s="120"/>
      <c r="SA300" s="120"/>
      <c r="SB300" s="120"/>
      <c r="SC300" s="120"/>
      <c r="SD300" s="120"/>
      <c r="SE300" s="120"/>
      <c r="SF300" s="120"/>
      <c r="SG300" s="120"/>
      <c r="SH300" s="120"/>
      <c r="SI300" s="120"/>
      <c r="SJ300" s="120"/>
      <c r="SK300" s="120"/>
      <c r="SL300" s="120"/>
      <c r="SM300" s="120"/>
      <c r="SN300" s="120"/>
      <c r="SO300" s="120"/>
      <c r="SP300" s="120"/>
      <c r="SQ300" s="120"/>
      <c r="SR300" s="120"/>
      <c r="SS300" s="120"/>
      <c r="ST300" s="120"/>
      <c r="SU300" s="120"/>
      <c r="SV300" s="120"/>
      <c r="SW300" s="120"/>
      <c r="SX300" s="120"/>
      <c r="SY300" s="120"/>
      <c r="SZ300" s="120"/>
      <c r="TA300" s="120"/>
      <c r="TB300" s="120"/>
      <c r="TC300" s="120"/>
      <c r="TD300" s="120"/>
      <c r="TE300" s="120"/>
      <c r="TF300" s="120"/>
      <c r="TG300" s="120"/>
      <c r="TH300" s="120"/>
      <c r="TI300" s="120"/>
      <c r="TJ300" s="120"/>
      <c r="TK300" s="120"/>
      <c r="TL300" s="120"/>
      <c r="TM300" s="120"/>
      <c r="TN300" s="120"/>
      <c r="TO300" s="120"/>
      <c r="TP300" s="120"/>
      <c r="TQ300" s="120"/>
      <c r="TR300" s="120"/>
      <c r="TS300" s="120"/>
      <c r="TT300" s="120"/>
      <c r="TU300" s="120"/>
      <c r="TV300" s="120"/>
      <c r="TW300" s="120"/>
      <c r="TX300" s="120"/>
      <c r="TY300" s="120"/>
      <c r="TZ300" s="120"/>
      <c r="UA300" s="120"/>
      <c r="UB300" s="120"/>
      <c r="UC300" s="120"/>
      <c r="UD300" s="120"/>
      <c r="UE300" s="120"/>
      <c r="UF300" s="120"/>
      <c r="UG300" s="120"/>
      <c r="UH300" s="120"/>
      <c r="UI300" s="120"/>
      <c r="UJ300" s="120"/>
      <c r="UK300" s="120"/>
      <c r="UL300" s="120"/>
      <c r="UM300" s="120"/>
      <c r="UN300" s="120"/>
      <c r="UO300" s="120"/>
      <c r="UP300" s="120"/>
      <c r="UQ300" s="120"/>
      <c r="UR300" s="120"/>
      <c r="US300" s="120"/>
      <c r="UT300" s="120"/>
      <c r="UU300" s="120"/>
      <c r="UV300" s="120"/>
      <c r="UW300" s="120"/>
      <c r="UX300" s="120"/>
      <c r="UY300" s="120"/>
      <c r="UZ300" s="120"/>
      <c r="VA300" s="120"/>
      <c r="VB300" s="120"/>
      <c r="VC300" s="120"/>
      <c r="VD300" s="120"/>
      <c r="VE300" s="120"/>
      <c r="VF300" s="120"/>
      <c r="VG300" s="120"/>
      <c r="VH300" s="120"/>
      <c r="VI300" s="120"/>
      <c r="VJ300" s="120"/>
      <c r="VK300" s="120"/>
      <c r="VL300" s="120"/>
      <c r="VM300" s="120"/>
      <c r="VN300" s="120"/>
      <c r="VO300" s="120"/>
      <c r="VP300" s="120"/>
      <c r="VQ300" s="120"/>
      <c r="VR300" s="120"/>
      <c r="VS300" s="120"/>
      <c r="VT300" s="120"/>
      <c r="VU300" s="120"/>
      <c r="VV300" s="120"/>
      <c r="VW300" s="120"/>
      <c r="VX300" s="120"/>
      <c r="VY300" s="120"/>
      <c r="VZ300" s="120"/>
      <c r="WA300" s="120"/>
      <c r="WB300" s="120"/>
      <c r="WC300" s="120"/>
      <c r="WD300" s="120"/>
      <c r="WE300" s="120"/>
      <c r="WF300" s="120"/>
      <c r="WG300" s="120"/>
      <c r="WH300" s="120"/>
      <c r="WI300" s="120"/>
      <c r="WJ300" s="120"/>
      <c r="WK300" s="120"/>
      <c r="WL300" s="120"/>
      <c r="WM300" s="120"/>
      <c r="WN300" s="120"/>
      <c r="WO300" s="120"/>
      <c r="WP300" s="120"/>
      <c r="WQ300" s="120"/>
      <c r="WR300" s="120"/>
      <c r="WS300" s="120"/>
      <c r="WT300" s="120"/>
      <c r="WU300" s="120"/>
      <c r="WV300" s="120"/>
      <c r="WW300" s="120"/>
      <c r="WX300" s="120"/>
      <c r="WY300" s="120"/>
      <c r="WZ300" s="120"/>
      <c r="XA300" s="120"/>
      <c r="XB300" s="120"/>
      <c r="XC300" s="120"/>
      <c r="XD300" s="120"/>
      <c r="XE300" s="120"/>
      <c r="XF300" s="120"/>
      <c r="XG300" s="120"/>
      <c r="XH300" s="120"/>
      <c r="XI300" s="120"/>
      <c r="XJ300" s="120"/>
      <c r="XK300" s="120"/>
      <c r="XL300" s="120"/>
      <c r="XM300" s="120"/>
      <c r="XN300" s="120"/>
      <c r="XO300" s="120"/>
      <c r="XP300" s="120"/>
      <c r="XQ300" s="120"/>
      <c r="XR300" s="120"/>
      <c r="XS300" s="120"/>
      <c r="XT300" s="120"/>
      <c r="XU300" s="120"/>
      <c r="XV300" s="120"/>
      <c r="XW300" s="120"/>
      <c r="XX300" s="120"/>
      <c r="XY300" s="120"/>
      <c r="XZ300" s="120"/>
      <c r="YA300" s="120"/>
      <c r="YB300" s="120"/>
      <c r="YC300" s="120"/>
      <c r="YD300" s="120"/>
      <c r="YE300" s="120"/>
      <c r="YF300" s="120"/>
      <c r="YG300" s="120"/>
      <c r="YH300" s="120"/>
      <c r="YI300" s="120"/>
      <c r="YJ300" s="120"/>
      <c r="YK300" s="120"/>
      <c r="YL300" s="120"/>
      <c r="YM300" s="120"/>
      <c r="YN300" s="120"/>
      <c r="YO300" s="120"/>
      <c r="YP300" s="120"/>
      <c r="YQ300" s="120"/>
      <c r="YR300" s="120"/>
      <c r="YS300" s="120"/>
      <c r="YT300" s="120"/>
      <c r="YU300" s="120"/>
      <c r="YV300" s="120"/>
      <c r="YW300" s="120"/>
      <c r="YX300" s="120"/>
      <c r="YY300" s="120"/>
      <c r="YZ300" s="120"/>
      <c r="ZA300" s="120"/>
      <c r="ZB300" s="120"/>
      <c r="ZC300" s="120"/>
      <c r="ZD300" s="120"/>
      <c r="ZE300" s="120"/>
      <c r="ZF300" s="120"/>
      <c r="ZG300" s="120"/>
      <c r="ZH300" s="120"/>
      <c r="ZI300" s="120"/>
      <c r="ZJ300" s="120"/>
      <c r="ZK300" s="120"/>
      <c r="ZL300" s="120"/>
      <c r="ZM300" s="120"/>
      <c r="ZN300" s="120"/>
      <c r="ZO300" s="120"/>
      <c r="ZP300" s="120"/>
      <c r="ZQ300" s="120"/>
      <c r="ZR300" s="120"/>
      <c r="ZS300" s="120"/>
      <c r="ZT300" s="120"/>
      <c r="ZU300" s="120"/>
      <c r="ZV300" s="120"/>
      <c r="ZW300" s="120"/>
      <c r="ZX300" s="120"/>
      <c r="ZY300" s="120"/>
      <c r="ZZ300" s="120"/>
      <c r="AAA300" s="120"/>
      <c r="AAB300" s="120"/>
      <c r="AAC300" s="120"/>
      <c r="AAD300" s="120"/>
      <c r="AAE300" s="120"/>
      <c r="AAF300" s="120"/>
      <c r="AAG300" s="120"/>
      <c r="AAH300" s="120"/>
      <c r="AAI300" s="120"/>
      <c r="AAJ300" s="120"/>
      <c r="AAK300" s="120"/>
      <c r="AAL300" s="120"/>
      <c r="AAM300" s="120"/>
      <c r="AAN300" s="120"/>
      <c r="AAO300" s="120"/>
      <c r="AAP300" s="120"/>
      <c r="AAQ300" s="120"/>
      <c r="AAR300" s="120"/>
      <c r="AAS300" s="120"/>
      <c r="AAT300" s="120"/>
      <c r="AAU300" s="120"/>
      <c r="AAV300" s="120"/>
      <c r="AAW300" s="120"/>
      <c r="AAX300" s="120"/>
      <c r="AAY300" s="120"/>
      <c r="AAZ300" s="120"/>
      <c r="ABA300" s="120"/>
      <c r="ABB300" s="120"/>
      <c r="ABC300" s="120"/>
      <c r="ABD300" s="120"/>
      <c r="ABE300" s="120"/>
      <c r="ABF300" s="120"/>
      <c r="ABG300" s="120"/>
      <c r="ABH300" s="120"/>
      <c r="ABI300" s="120"/>
      <c r="ABJ300" s="120"/>
      <c r="ABK300" s="120"/>
      <c r="ABL300" s="120"/>
      <c r="ABM300" s="120"/>
      <c r="ABN300" s="120"/>
      <c r="ABO300" s="120"/>
      <c r="ABP300" s="120"/>
      <c r="ABQ300" s="120"/>
      <c r="ABR300" s="120"/>
      <c r="ABS300" s="120"/>
      <c r="ABT300" s="120"/>
      <c r="ABU300" s="120"/>
      <c r="ABV300" s="120"/>
      <c r="ABW300" s="120"/>
      <c r="ABX300" s="120"/>
      <c r="ABY300" s="120"/>
      <c r="ABZ300" s="120"/>
      <c r="ACA300" s="120"/>
      <c r="ACB300" s="120"/>
      <c r="ACC300" s="120"/>
      <c r="ACD300" s="120"/>
      <c r="ACE300" s="120"/>
      <c r="ACF300" s="120"/>
      <c r="ACG300" s="120"/>
      <c r="ACH300" s="120"/>
      <c r="ACI300" s="120"/>
      <c r="ACJ300" s="120"/>
      <c r="ACK300" s="120"/>
      <c r="ACL300" s="120"/>
      <c r="ACM300" s="120"/>
      <c r="ACN300" s="120"/>
      <c r="ACO300" s="120"/>
      <c r="ACP300" s="120"/>
      <c r="ACQ300" s="120"/>
      <c r="ACR300" s="120"/>
      <c r="ACS300" s="120"/>
      <c r="ACT300" s="120"/>
      <c r="ACU300" s="120"/>
      <c r="ACV300" s="120"/>
      <c r="ACW300" s="120"/>
      <c r="ACX300" s="120"/>
      <c r="ACY300" s="120"/>
      <c r="ACZ300" s="120"/>
      <c r="ADA300" s="120"/>
      <c r="ADB300" s="120"/>
      <c r="ADC300" s="120"/>
      <c r="ADD300" s="120"/>
      <c r="ADE300" s="120"/>
      <c r="ADF300" s="120"/>
      <c r="ADG300" s="120"/>
      <c r="ADH300" s="120"/>
      <c r="ADI300" s="120"/>
      <c r="ADJ300" s="120"/>
      <c r="ADK300" s="120"/>
      <c r="ADL300" s="120"/>
      <c r="ADM300" s="120"/>
      <c r="ADN300" s="120"/>
      <c r="ADO300" s="120"/>
      <c r="ADP300" s="120"/>
      <c r="ADQ300" s="120"/>
      <c r="ADR300" s="120"/>
      <c r="ADS300" s="120"/>
      <c r="ADT300" s="120"/>
      <c r="ADU300" s="120"/>
      <c r="ADV300" s="120"/>
      <c r="ADW300" s="120"/>
      <c r="ADX300" s="120"/>
      <c r="ADY300" s="120"/>
      <c r="ADZ300" s="120"/>
      <c r="AEA300" s="120"/>
      <c r="AEB300" s="120"/>
      <c r="AEC300" s="120"/>
      <c r="AED300" s="120"/>
      <c r="AEE300" s="120"/>
      <c r="AEF300" s="120"/>
      <c r="AEG300" s="120"/>
      <c r="AEH300" s="120"/>
      <c r="AEI300" s="120"/>
      <c r="AEJ300" s="120"/>
      <c r="AEK300" s="120"/>
      <c r="AEL300" s="120"/>
      <c r="AEM300" s="120"/>
      <c r="AEN300" s="120"/>
      <c r="AEO300" s="120"/>
      <c r="AEP300" s="120"/>
      <c r="AEQ300" s="120"/>
      <c r="AER300" s="120"/>
      <c r="AES300" s="120"/>
      <c r="AET300" s="120"/>
      <c r="AEU300" s="120"/>
      <c r="AEV300" s="120"/>
      <c r="AEW300" s="120"/>
      <c r="AEX300" s="120"/>
      <c r="AEY300" s="120"/>
      <c r="AEZ300" s="120"/>
      <c r="AFA300" s="120"/>
      <c r="AFB300" s="120"/>
      <c r="AFC300" s="120"/>
      <c r="AFD300" s="120"/>
      <c r="AFE300" s="120"/>
      <c r="AFF300" s="120"/>
      <c r="AFG300" s="120"/>
      <c r="AFH300" s="120"/>
      <c r="AFI300" s="120"/>
      <c r="AFJ300" s="120"/>
      <c r="AFK300" s="120"/>
      <c r="AFL300" s="120"/>
      <c r="AFM300" s="120"/>
      <c r="AFN300" s="120"/>
      <c r="AFO300" s="120"/>
      <c r="AFP300" s="120"/>
      <c r="AFQ300" s="120"/>
      <c r="AFR300" s="120"/>
      <c r="AFS300" s="120"/>
      <c r="AFT300" s="120"/>
      <c r="AFU300" s="120"/>
      <c r="AFV300" s="120"/>
      <c r="AFW300" s="120"/>
      <c r="AFX300" s="120"/>
      <c r="AFY300" s="120"/>
      <c r="AFZ300" s="120"/>
      <c r="AGA300" s="120"/>
      <c r="AGB300" s="120"/>
      <c r="AGC300" s="120"/>
      <c r="AGD300" s="120"/>
      <c r="AGE300" s="120"/>
      <c r="AGF300" s="120"/>
      <c r="AGG300" s="120"/>
      <c r="AGH300" s="120"/>
      <c r="AGI300" s="120"/>
      <c r="AGJ300" s="120"/>
      <c r="AGK300" s="120"/>
      <c r="AGL300" s="120"/>
      <c r="AGM300" s="120"/>
      <c r="AGN300" s="120"/>
      <c r="AGO300" s="120"/>
      <c r="AGP300" s="120"/>
      <c r="AGQ300" s="120"/>
      <c r="AGR300" s="120"/>
      <c r="AGS300" s="120"/>
      <c r="AGT300" s="120"/>
      <c r="AGU300" s="120"/>
      <c r="AGV300" s="120"/>
      <c r="AGW300" s="120"/>
      <c r="AGX300" s="120"/>
      <c r="AGY300" s="120"/>
      <c r="AGZ300" s="120"/>
      <c r="AHA300" s="120"/>
      <c r="AHB300" s="120"/>
      <c r="AHC300" s="120"/>
      <c r="AHD300" s="120"/>
      <c r="AHE300" s="120"/>
      <c r="AHF300" s="120"/>
      <c r="AHG300" s="120"/>
      <c r="AHH300" s="120"/>
      <c r="AHI300" s="120"/>
      <c r="AHJ300" s="120"/>
      <c r="AHK300" s="120"/>
      <c r="AHL300" s="120"/>
      <c r="AHM300" s="120"/>
      <c r="AHN300" s="120"/>
      <c r="AHO300" s="120"/>
      <c r="AHP300" s="120"/>
      <c r="AHQ300" s="120"/>
      <c r="AHR300" s="120"/>
      <c r="AHS300" s="120"/>
      <c r="AHT300" s="120"/>
      <c r="AHU300" s="120"/>
      <c r="AHV300" s="120"/>
      <c r="AHW300" s="120"/>
      <c r="AHX300" s="120"/>
      <c r="AHY300" s="120"/>
      <c r="AHZ300" s="120"/>
      <c r="AIA300" s="120"/>
      <c r="AIB300" s="120"/>
      <c r="AIC300" s="120"/>
      <c r="AID300" s="120"/>
      <c r="AIE300" s="120"/>
      <c r="AIF300" s="120"/>
      <c r="AIG300" s="120"/>
      <c r="AIH300" s="120"/>
      <c r="AII300" s="120"/>
      <c r="AIJ300" s="120"/>
      <c r="AIK300" s="120"/>
      <c r="AIL300" s="120"/>
      <c r="AIM300" s="120"/>
      <c r="AIN300" s="120"/>
      <c r="AIO300" s="120"/>
      <c r="AIP300" s="120"/>
      <c r="AIQ300" s="120"/>
      <c r="AIR300" s="120"/>
      <c r="AIS300" s="120"/>
      <c r="AIT300" s="120"/>
      <c r="AIU300" s="120"/>
      <c r="AIV300" s="120"/>
      <c r="AIW300" s="120"/>
      <c r="AIX300" s="120"/>
      <c r="AIY300" s="120"/>
      <c r="AIZ300" s="120"/>
      <c r="AJA300" s="120"/>
      <c r="AJB300" s="120"/>
      <c r="AJC300" s="120"/>
      <c r="AJD300" s="120"/>
      <c r="AJE300" s="120"/>
      <c r="AJF300" s="120"/>
      <c r="AJG300" s="120"/>
      <c r="AJH300" s="120"/>
      <c r="AJI300" s="120"/>
      <c r="AJJ300" s="120"/>
      <c r="AJK300" s="120"/>
      <c r="AJL300" s="120"/>
      <c r="AJM300" s="120"/>
      <c r="AJN300" s="120"/>
      <c r="AJO300" s="120"/>
      <c r="AJP300" s="120"/>
      <c r="AJQ300" s="120"/>
      <c r="AJR300" s="120"/>
      <c r="AJS300" s="120"/>
      <c r="AJT300" s="120"/>
      <c r="AJU300" s="120"/>
      <c r="AJV300" s="120"/>
      <c r="AJW300" s="120"/>
      <c r="AJX300" s="120"/>
      <c r="AJY300" s="120"/>
      <c r="AJZ300" s="120"/>
      <c r="AKA300" s="120"/>
      <c r="AKB300" s="120"/>
      <c r="AKC300" s="120"/>
      <c r="AKD300" s="120"/>
      <c r="AKE300" s="120"/>
      <c r="AKF300" s="120"/>
      <c r="AKG300" s="120"/>
      <c r="AKH300" s="120"/>
      <c r="AKI300" s="120"/>
      <c r="AKJ300" s="120"/>
      <c r="AKK300" s="120"/>
      <c r="AKL300" s="120"/>
      <c r="AKM300" s="120"/>
      <c r="AKN300" s="120"/>
      <c r="AKO300" s="120"/>
      <c r="AKP300" s="120"/>
      <c r="AKQ300" s="120"/>
      <c r="AKR300" s="120"/>
      <c r="AKS300" s="120"/>
      <c r="AKT300" s="120"/>
      <c r="AKU300" s="120"/>
      <c r="AKV300" s="120"/>
      <c r="AKW300" s="120"/>
      <c r="AKX300" s="120"/>
      <c r="AKY300" s="120"/>
      <c r="AKZ300" s="120"/>
      <c r="ALA300" s="120"/>
      <c r="ALB300" s="120"/>
      <c r="ALC300" s="120"/>
      <c r="ALD300" s="120"/>
      <c r="ALE300" s="120"/>
      <c r="ALF300" s="120"/>
      <c r="ALG300" s="120"/>
      <c r="ALH300" s="120"/>
      <c r="ALI300" s="120"/>
      <c r="ALJ300" s="120"/>
      <c r="ALK300" s="120"/>
      <c r="ALL300" s="120"/>
      <c r="ALM300" s="120"/>
      <c r="ALN300" s="120"/>
      <c r="ALO300" s="120"/>
      <c r="ALP300" s="120"/>
      <c r="ALQ300" s="120"/>
      <c r="ALR300" s="120"/>
      <c r="ALS300" s="120"/>
      <c r="ALT300" s="120"/>
      <c r="ALU300" s="120"/>
      <c r="ALV300" s="120"/>
      <c r="ALW300" s="120"/>
      <c r="ALX300" s="120"/>
      <c r="ALY300" s="120"/>
      <c r="ALZ300" s="120"/>
      <c r="AMA300" s="120"/>
      <c r="AMB300" s="120"/>
      <c r="AMC300" s="120"/>
      <c r="AMD300" s="120"/>
      <c r="AME300" s="120"/>
      <c r="AMF300" s="120"/>
      <c r="AMG300" s="120"/>
      <c r="AMH300" s="120"/>
    </row>
    <row r="301" spans="1:1022" s="119" customFormat="1" x14ac:dyDescent="0.25">
      <c r="A301" s="121"/>
      <c r="B301" s="230" t="s">
        <v>152</v>
      </c>
      <c r="C301" s="231"/>
      <c r="D301" s="231"/>
      <c r="E301" s="231"/>
      <c r="F301" s="231"/>
      <c r="G301" s="174"/>
      <c r="H301" s="244" t="s">
        <v>146</v>
      </c>
      <c r="I301" s="244"/>
      <c r="J301" s="244"/>
      <c r="K301" s="244"/>
      <c r="L301" s="245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  <c r="AG301" s="120"/>
      <c r="AH301" s="120"/>
      <c r="AI301" s="120"/>
      <c r="AJ301" s="120"/>
      <c r="AK301" s="120"/>
      <c r="AL301" s="120"/>
      <c r="AM301" s="120"/>
      <c r="AN301" s="120"/>
      <c r="AO301" s="120"/>
      <c r="AP301" s="120"/>
      <c r="AQ301" s="120"/>
      <c r="AR301" s="120"/>
      <c r="AS301" s="120"/>
      <c r="AT301" s="120"/>
      <c r="AU301" s="120"/>
      <c r="AV301" s="120"/>
      <c r="AW301" s="120"/>
      <c r="AX301" s="120"/>
      <c r="AY301" s="120"/>
      <c r="AZ301" s="120"/>
      <c r="BA301" s="120"/>
      <c r="BB301" s="120"/>
      <c r="BC301" s="120"/>
      <c r="BD301" s="120"/>
      <c r="BE301" s="120"/>
      <c r="BF301" s="120"/>
      <c r="BG301" s="120"/>
      <c r="BH301" s="120"/>
      <c r="BI301" s="120"/>
      <c r="BJ301" s="120"/>
      <c r="BK301" s="120"/>
      <c r="BL301" s="120"/>
      <c r="BM301" s="120"/>
      <c r="BN301" s="120"/>
      <c r="BO301" s="120"/>
      <c r="BP301" s="120"/>
      <c r="BQ301" s="120"/>
      <c r="BR301" s="120"/>
      <c r="BS301" s="120"/>
      <c r="BT301" s="120"/>
      <c r="BU301" s="120"/>
      <c r="BV301" s="120"/>
      <c r="BW301" s="120"/>
      <c r="BX301" s="120"/>
      <c r="BY301" s="120"/>
      <c r="BZ301" s="120"/>
      <c r="CA301" s="120"/>
      <c r="CB301" s="120"/>
      <c r="CC301" s="120"/>
      <c r="CD301" s="120"/>
      <c r="CE301" s="120"/>
      <c r="CF301" s="120"/>
      <c r="CG301" s="120"/>
      <c r="CH301" s="120"/>
      <c r="CI301" s="120"/>
      <c r="CJ301" s="120"/>
      <c r="CK301" s="120"/>
      <c r="CL301" s="120"/>
      <c r="CM301" s="120"/>
      <c r="CN301" s="120"/>
      <c r="CO301" s="120"/>
      <c r="CP301" s="120"/>
      <c r="CQ301" s="120"/>
      <c r="CR301" s="120"/>
      <c r="CS301" s="120"/>
      <c r="CT301" s="120"/>
      <c r="CU301" s="120"/>
      <c r="CV301" s="120"/>
      <c r="CW301" s="120"/>
      <c r="CX301" s="120"/>
      <c r="CY301" s="120"/>
      <c r="CZ301" s="120"/>
      <c r="DA301" s="120"/>
      <c r="DB301" s="120"/>
      <c r="DC301" s="120"/>
      <c r="DD301" s="120"/>
      <c r="DE301" s="120"/>
      <c r="DF301" s="120"/>
      <c r="DG301" s="120"/>
      <c r="DH301" s="120"/>
      <c r="DI301" s="120"/>
      <c r="DJ301" s="120"/>
      <c r="DK301" s="120"/>
      <c r="DL301" s="120"/>
      <c r="DM301" s="120"/>
      <c r="DN301" s="120"/>
      <c r="DO301" s="120"/>
      <c r="DP301" s="120"/>
      <c r="DQ301" s="120"/>
      <c r="DR301" s="120"/>
      <c r="DS301" s="120"/>
      <c r="DT301" s="120"/>
      <c r="DU301" s="120"/>
      <c r="DV301" s="120"/>
      <c r="DW301" s="120"/>
      <c r="DX301" s="120"/>
      <c r="DY301" s="120"/>
      <c r="DZ301" s="120"/>
      <c r="EA301" s="120"/>
      <c r="EB301" s="120"/>
      <c r="EC301" s="120"/>
      <c r="ED301" s="120"/>
      <c r="EE301" s="120"/>
      <c r="EF301" s="120"/>
      <c r="EG301" s="120"/>
      <c r="EH301" s="120"/>
      <c r="EI301" s="120"/>
      <c r="EJ301" s="120"/>
      <c r="EK301" s="120"/>
      <c r="EL301" s="120"/>
      <c r="EM301" s="120"/>
      <c r="EN301" s="120"/>
      <c r="EO301" s="120"/>
      <c r="EP301" s="120"/>
      <c r="EQ301" s="120"/>
      <c r="ER301" s="120"/>
      <c r="ES301" s="120"/>
      <c r="ET301" s="120"/>
      <c r="EU301" s="120"/>
      <c r="EV301" s="120"/>
      <c r="EW301" s="120"/>
      <c r="EX301" s="120"/>
      <c r="EY301" s="120"/>
      <c r="EZ301" s="120"/>
      <c r="FA301" s="120"/>
      <c r="FB301" s="120"/>
      <c r="FC301" s="120"/>
      <c r="FD301" s="120"/>
      <c r="FE301" s="120"/>
      <c r="FF301" s="120"/>
      <c r="FG301" s="120"/>
      <c r="FH301" s="120"/>
      <c r="FI301" s="120"/>
      <c r="FJ301" s="120"/>
      <c r="FK301" s="120"/>
      <c r="FL301" s="120"/>
      <c r="FM301" s="120"/>
      <c r="FN301" s="120"/>
      <c r="FO301" s="120"/>
      <c r="FP301" s="120"/>
      <c r="FQ301" s="120"/>
      <c r="FR301" s="120"/>
      <c r="FS301" s="120"/>
      <c r="FT301" s="120"/>
      <c r="FU301" s="120"/>
      <c r="FV301" s="120"/>
      <c r="FW301" s="120"/>
      <c r="FX301" s="120"/>
      <c r="FY301" s="120"/>
      <c r="FZ301" s="120"/>
      <c r="GA301" s="120"/>
      <c r="GB301" s="120"/>
      <c r="GC301" s="120"/>
      <c r="GD301" s="120"/>
      <c r="GE301" s="120"/>
      <c r="GF301" s="120"/>
      <c r="GG301" s="120"/>
      <c r="GH301" s="120"/>
      <c r="GI301" s="120"/>
      <c r="GJ301" s="120"/>
      <c r="GK301" s="120"/>
      <c r="GL301" s="120"/>
      <c r="GM301" s="120"/>
      <c r="GN301" s="120"/>
      <c r="GO301" s="120"/>
      <c r="GP301" s="120"/>
      <c r="GQ301" s="120"/>
      <c r="GR301" s="120"/>
      <c r="GS301" s="120"/>
      <c r="GT301" s="120"/>
      <c r="GU301" s="120"/>
      <c r="GV301" s="120"/>
      <c r="GW301" s="120"/>
      <c r="GX301" s="120"/>
      <c r="GY301" s="120"/>
      <c r="GZ301" s="120"/>
      <c r="HA301" s="120"/>
      <c r="HB301" s="120"/>
      <c r="HC301" s="120"/>
      <c r="HD301" s="120"/>
      <c r="HE301" s="120"/>
      <c r="HF301" s="120"/>
      <c r="HG301" s="120"/>
      <c r="HH301" s="120"/>
      <c r="HI301" s="120"/>
      <c r="HJ301" s="120"/>
      <c r="HK301" s="120"/>
      <c r="HL301" s="120"/>
      <c r="HM301" s="120"/>
      <c r="HN301" s="120"/>
      <c r="HO301" s="120"/>
      <c r="HP301" s="120"/>
      <c r="HQ301" s="120"/>
      <c r="HR301" s="120"/>
      <c r="HS301" s="120"/>
      <c r="HT301" s="120"/>
      <c r="HU301" s="120"/>
      <c r="HV301" s="120"/>
      <c r="HW301" s="120"/>
      <c r="HX301" s="120"/>
      <c r="HY301" s="120"/>
      <c r="HZ301" s="120"/>
      <c r="IA301" s="120"/>
      <c r="IB301" s="120"/>
      <c r="IC301" s="120"/>
      <c r="ID301" s="120"/>
      <c r="IE301" s="120"/>
      <c r="IF301" s="120"/>
      <c r="IG301" s="120"/>
      <c r="IH301" s="120"/>
      <c r="II301" s="120"/>
      <c r="IJ301" s="120"/>
      <c r="IK301" s="120"/>
      <c r="IL301" s="120"/>
      <c r="IM301" s="120"/>
      <c r="IN301" s="120"/>
      <c r="IO301" s="120"/>
      <c r="IP301" s="120"/>
      <c r="IQ301" s="120"/>
      <c r="IR301" s="120"/>
      <c r="IS301" s="120"/>
      <c r="IT301" s="120"/>
      <c r="IU301" s="120"/>
      <c r="IV301" s="120"/>
      <c r="IW301" s="120"/>
      <c r="IX301" s="120"/>
      <c r="IY301" s="120"/>
      <c r="IZ301" s="120"/>
      <c r="JA301" s="120"/>
      <c r="JB301" s="120"/>
      <c r="JC301" s="120"/>
      <c r="JD301" s="120"/>
      <c r="JE301" s="120"/>
      <c r="JF301" s="120"/>
      <c r="JG301" s="120"/>
      <c r="JH301" s="120"/>
      <c r="JI301" s="120"/>
      <c r="JJ301" s="120"/>
      <c r="JK301" s="120"/>
      <c r="JL301" s="120"/>
      <c r="JM301" s="120"/>
      <c r="JN301" s="120"/>
      <c r="JO301" s="120"/>
      <c r="JP301" s="120"/>
      <c r="JQ301" s="120"/>
      <c r="JR301" s="120"/>
      <c r="JS301" s="120"/>
      <c r="JT301" s="120"/>
      <c r="JU301" s="120"/>
      <c r="JV301" s="120"/>
      <c r="JW301" s="120"/>
      <c r="JX301" s="120"/>
      <c r="JY301" s="120"/>
      <c r="JZ301" s="120"/>
      <c r="KA301" s="120"/>
      <c r="KB301" s="120"/>
      <c r="KC301" s="120"/>
      <c r="KD301" s="120"/>
      <c r="KE301" s="120"/>
      <c r="KF301" s="120"/>
      <c r="KG301" s="120"/>
      <c r="KH301" s="120"/>
      <c r="KI301" s="120"/>
      <c r="KJ301" s="120"/>
      <c r="KK301" s="120"/>
      <c r="KL301" s="120"/>
      <c r="KM301" s="120"/>
      <c r="KN301" s="120"/>
      <c r="KO301" s="120"/>
      <c r="KP301" s="120"/>
      <c r="KQ301" s="120"/>
      <c r="KR301" s="120"/>
      <c r="KS301" s="120"/>
      <c r="KT301" s="120"/>
      <c r="KU301" s="120"/>
      <c r="KV301" s="120"/>
      <c r="KW301" s="120"/>
      <c r="KX301" s="120"/>
      <c r="KY301" s="120"/>
      <c r="KZ301" s="120"/>
      <c r="LA301" s="120"/>
      <c r="LB301" s="120"/>
      <c r="LC301" s="120"/>
      <c r="LD301" s="120"/>
      <c r="LE301" s="120"/>
      <c r="LF301" s="120"/>
      <c r="LG301" s="120"/>
      <c r="LH301" s="120"/>
      <c r="LI301" s="120"/>
      <c r="LJ301" s="120"/>
      <c r="LK301" s="120"/>
      <c r="LL301" s="120"/>
      <c r="LM301" s="120"/>
      <c r="LN301" s="120"/>
      <c r="LO301" s="120"/>
      <c r="LP301" s="120"/>
      <c r="LQ301" s="120"/>
      <c r="LR301" s="120"/>
      <c r="LS301" s="120"/>
      <c r="LT301" s="120"/>
      <c r="LU301" s="120"/>
      <c r="LV301" s="120"/>
      <c r="LW301" s="120"/>
      <c r="LX301" s="120"/>
      <c r="LY301" s="120"/>
      <c r="LZ301" s="120"/>
      <c r="MA301" s="120"/>
      <c r="MB301" s="120"/>
      <c r="MC301" s="120"/>
      <c r="MD301" s="120"/>
      <c r="ME301" s="120"/>
      <c r="MF301" s="120"/>
      <c r="MG301" s="120"/>
      <c r="MH301" s="120"/>
      <c r="MI301" s="120"/>
      <c r="MJ301" s="120"/>
      <c r="MK301" s="120"/>
      <c r="ML301" s="120"/>
      <c r="MM301" s="120"/>
      <c r="MN301" s="120"/>
      <c r="MO301" s="120"/>
      <c r="MP301" s="120"/>
      <c r="MQ301" s="120"/>
      <c r="MR301" s="120"/>
      <c r="MS301" s="120"/>
      <c r="MT301" s="120"/>
      <c r="MU301" s="120"/>
      <c r="MV301" s="120"/>
      <c r="MW301" s="120"/>
      <c r="MX301" s="120"/>
      <c r="MY301" s="120"/>
      <c r="MZ301" s="120"/>
      <c r="NA301" s="120"/>
      <c r="NB301" s="120"/>
      <c r="NC301" s="120"/>
      <c r="ND301" s="120"/>
      <c r="NE301" s="120"/>
      <c r="NF301" s="120"/>
      <c r="NG301" s="120"/>
      <c r="NH301" s="120"/>
      <c r="NI301" s="120"/>
      <c r="NJ301" s="120"/>
      <c r="NK301" s="120"/>
      <c r="NL301" s="120"/>
      <c r="NM301" s="120"/>
      <c r="NN301" s="120"/>
      <c r="NO301" s="120"/>
      <c r="NP301" s="120"/>
      <c r="NQ301" s="120"/>
      <c r="NR301" s="120"/>
      <c r="NS301" s="120"/>
      <c r="NT301" s="120"/>
      <c r="NU301" s="120"/>
      <c r="NV301" s="120"/>
      <c r="NW301" s="120"/>
      <c r="NX301" s="120"/>
      <c r="NY301" s="120"/>
      <c r="NZ301" s="120"/>
      <c r="OA301" s="120"/>
      <c r="OB301" s="120"/>
      <c r="OC301" s="120"/>
      <c r="OD301" s="120"/>
      <c r="OE301" s="120"/>
      <c r="OF301" s="120"/>
      <c r="OG301" s="120"/>
      <c r="OH301" s="120"/>
      <c r="OI301" s="120"/>
      <c r="OJ301" s="120"/>
      <c r="OK301" s="120"/>
      <c r="OL301" s="120"/>
      <c r="OM301" s="120"/>
      <c r="ON301" s="120"/>
      <c r="OO301" s="120"/>
      <c r="OP301" s="120"/>
      <c r="OQ301" s="120"/>
      <c r="OR301" s="120"/>
      <c r="OS301" s="120"/>
      <c r="OT301" s="120"/>
      <c r="OU301" s="120"/>
      <c r="OV301" s="120"/>
      <c r="OW301" s="120"/>
      <c r="OX301" s="120"/>
      <c r="OY301" s="120"/>
      <c r="OZ301" s="120"/>
      <c r="PA301" s="120"/>
      <c r="PB301" s="120"/>
      <c r="PC301" s="120"/>
      <c r="PD301" s="120"/>
      <c r="PE301" s="120"/>
      <c r="PF301" s="120"/>
      <c r="PG301" s="120"/>
      <c r="PH301" s="120"/>
      <c r="PI301" s="120"/>
      <c r="PJ301" s="120"/>
      <c r="PK301" s="120"/>
      <c r="PL301" s="120"/>
      <c r="PM301" s="120"/>
      <c r="PN301" s="120"/>
      <c r="PO301" s="120"/>
      <c r="PP301" s="120"/>
      <c r="PQ301" s="120"/>
      <c r="PR301" s="120"/>
      <c r="PS301" s="120"/>
      <c r="PT301" s="120"/>
      <c r="PU301" s="120"/>
      <c r="PV301" s="120"/>
      <c r="PW301" s="120"/>
      <c r="PX301" s="120"/>
      <c r="PY301" s="120"/>
      <c r="PZ301" s="120"/>
      <c r="QA301" s="120"/>
      <c r="QB301" s="120"/>
      <c r="QC301" s="120"/>
      <c r="QD301" s="120"/>
      <c r="QE301" s="120"/>
      <c r="QF301" s="120"/>
      <c r="QG301" s="120"/>
      <c r="QH301" s="120"/>
      <c r="QI301" s="120"/>
      <c r="QJ301" s="120"/>
      <c r="QK301" s="120"/>
      <c r="QL301" s="120"/>
      <c r="QM301" s="120"/>
      <c r="QN301" s="120"/>
      <c r="QO301" s="120"/>
      <c r="QP301" s="120"/>
      <c r="QQ301" s="120"/>
      <c r="QR301" s="120"/>
      <c r="QS301" s="120"/>
      <c r="QT301" s="120"/>
      <c r="QU301" s="120"/>
      <c r="QV301" s="120"/>
      <c r="QW301" s="120"/>
      <c r="QX301" s="120"/>
      <c r="QY301" s="120"/>
      <c r="QZ301" s="120"/>
      <c r="RA301" s="120"/>
      <c r="RB301" s="120"/>
      <c r="RC301" s="120"/>
      <c r="RD301" s="120"/>
      <c r="RE301" s="120"/>
      <c r="RF301" s="120"/>
      <c r="RG301" s="120"/>
      <c r="RH301" s="120"/>
      <c r="RI301" s="120"/>
      <c r="RJ301" s="120"/>
      <c r="RK301" s="120"/>
      <c r="RL301" s="120"/>
      <c r="RM301" s="120"/>
      <c r="RN301" s="120"/>
      <c r="RO301" s="120"/>
      <c r="RP301" s="120"/>
      <c r="RQ301" s="120"/>
      <c r="RR301" s="120"/>
      <c r="RS301" s="120"/>
      <c r="RT301" s="120"/>
      <c r="RU301" s="120"/>
      <c r="RV301" s="120"/>
      <c r="RW301" s="120"/>
      <c r="RX301" s="120"/>
      <c r="RY301" s="120"/>
      <c r="RZ301" s="120"/>
      <c r="SA301" s="120"/>
      <c r="SB301" s="120"/>
      <c r="SC301" s="120"/>
      <c r="SD301" s="120"/>
      <c r="SE301" s="120"/>
      <c r="SF301" s="120"/>
      <c r="SG301" s="120"/>
      <c r="SH301" s="120"/>
      <c r="SI301" s="120"/>
      <c r="SJ301" s="120"/>
      <c r="SK301" s="120"/>
      <c r="SL301" s="120"/>
      <c r="SM301" s="120"/>
      <c r="SN301" s="120"/>
      <c r="SO301" s="120"/>
      <c r="SP301" s="120"/>
      <c r="SQ301" s="120"/>
      <c r="SR301" s="120"/>
      <c r="SS301" s="120"/>
      <c r="ST301" s="120"/>
      <c r="SU301" s="120"/>
      <c r="SV301" s="120"/>
      <c r="SW301" s="120"/>
      <c r="SX301" s="120"/>
      <c r="SY301" s="120"/>
      <c r="SZ301" s="120"/>
      <c r="TA301" s="120"/>
      <c r="TB301" s="120"/>
      <c r="TC301" s="120"/>
      <c r="TD301" s="120"/>
      <c r="TE301" s="120"/>
      <c r="TF301" s="120"/>
      <c r="TG301" s="120"/>
      <c r="TH301" s="120"/>
      <c r="TI301" s="120"/>
      <c r="TJ301" s="120"/>
      <c r="TK301" s="120"/>
      <c r="TL301" s="120"/>
      <c r="TM301" s="120"/>
      <c r="TN301" s="120"/>
      <c r="TO301" s="120"/>
      <c r="TP301" s="120"/>
      <c r="TQ301" s="120"/>
      <c r="TR301" s="120"/>
      <c r="TS301" s="120"/>
      <c r="TT301" s="120"/>
      <c r="TU301" s="120"/>
      <c r="TV301" s="120"/>
      <c r="TW301" s="120"/>
      <c r="TX301" s="120"/>
      <c r="TY301" s="120"/>
      <c r="TZ301" s="120"/>
      <c r="UA301" s="120"/>
      <c r="UB301" s="120"/>
      <c r="UC301" s="120"/>
      <c r="UD301" s="120"/>
      <c r="UE301" s="120"/>
      <c r="UF301" s="120"/>
      <c r="UG301" s="120"/>
      <c r="UH301" s="120"/>
      <c r="UI301" s="120"/>
      <c r="UJ301" s="120"/>
      <c r="UK301" s="120"/>
      <c r="UL301" s="120"/>
      <c r="UM301" s="120"/>
      <c r="UN301" s="120"/>
      <c r="UO301" s="120"/>
      <c r="UP301" s="120"/>
      <c r="UQ301" s="120"/>
      <c r="UR301" s="120"/>
      <c r="US301" s="120"/>
      <c r="UT301" s="120"/>
      <c r="UU301" s="120"/>
      <c r="UV301" s="120"/>
      <c r="UW301" s="120"/>
      <c r="UX301" s="120"/>
      <c r="UY301" s="120"/>
      <c r="UZ301" s="120"/>
      <c r="VA301" s="120"/>
      <c r="VB301" s="120"/>
      <c r="VC301" s="120"/>
      <c r="VD301" s="120"/>
      <c r="VE301" s="120"/>
      <c r="VF301" s="120"/>
      <c r="VG301" s="120"/>
      <c r="VH301" s="120"/>
      <c r="VI301" s="120"/>
      <c r="VJ301" s="120"/>
      <c r="VK301" s="120"/>
      <c r="VL301" s="120"/>
      <c r="VM301" s="120"/>
      <c r="VN301" s="120"/>
      <c r="VO301" s="120"/>
      <c r="VP301" s="120"/>
      <c r="VQ301" s="120"/>
      <c r="VR301" s="120"/>
      <c r="VS301" s="120"/>
      <c r="VT301" s="120"/>
      <c r="VU301" s="120"/>
      <c r="VV301" s="120"/>
      <c r="VW301" s="120"/>
      <c r="VX301" s="120"/>
      <c r="VY301" s="120"/>
      <c r="VZ301" s="120"/>
      <c r="WA301" s="120"/>
      <c r="WB301" s="120"/>
      <c r="WC301" s="120"/>
      <c r="WD301" s="120"/>
      <c r="WE301" s="120"/>
      <c r="WF301" s="120"/>
      <c r="WG301" s="120"/>
      <c r="WH301" s="120"/>
      <c r="WI301" s="120"/>
      <c r="WJ301" s="120"/>
      <c r="WK301" s="120"/>
      <c r="WL301" s="120"/>
      <c r="WM301" s="120"/>
      <c r="WN301" s="120"/>
      <c r="WO301" s="120"/>
      <c r="WP301" s="120"/>
      <c r="WQ301" s="120"/>
      <c r="WR301" s="120"/>
      <c r="WS301" s="120"/>
      <c r="WT301" s="120"/>
      <c r="WU301" s="120"/>
      <c r="WV301" s="120"/>
      <c r="WW301" s="120"/>
      <c r="WX301" s="120"/>
      <c r="WY301" s="120"/>
      <c r="WZ301" s="120"/>
      <c r="XA301" s="120"/>
      <c r="XB301" s="120"/>
      <c r="XC301" s="120"/>
      <c r="XD301" s="120"/>
      <c r="XE301" s="120"/>
      <c r="XF301" s="120"/>
      <c r="XG301" s="120"/>
      <c r="XH301" s="120"/>
      <c r="XI301" s="120"/>
      <c r="XJ301" s="120"/>
      <c r="XK301" s="120"/>
      <c r="XL301" s="120"/>
      <c r="XM301" s="120"/>
      <c r="XN301" s="120"/>
      <c r="XO301" s="120"/>
      <c r="XP301" s="120"/>
      <c r="XQ301" s="120"/>
      <c r="XR301" s="120"/>
      <c r="XS301" s="120"/>
      <c r="XT301" s="120"/>
      <c r="XU301" s="120"/>
      <c r="XV301" s="120"/>
      <c r="XW301" s="120"/>
      <c r="XX301" s="120"/>
      <c r="XY301" s="120"/>
      <c r="XZ301" s="120"/>
      <c r="YA301" s="120"/>
      <c r="YB301" s="120"/>
      <c r="YC301" s="120"/>
      <c r="YD301" s="120"/>
      <c r="YE301" s="120"/>
      <c r="YF301" s="120"/>
      <c r="YG301" s="120"/>
      <c r="YH301" s="120"/>
      <c r="YI301" s="120"/>
      <c r="YJ301" s="120"/>
      <c r="YK301" s="120"/>
      <c r="YL301" s="120"/>
      <c r="YM301" s="120"/>
      <c r="YN301" s="120"/>
      <c r="YO301" s="120"/>
      <c r="YP301" s="120"/>
      <c r="YQ301" s="120"/>
      <c r="YR301" s="120"/>
      <c r="YS301" s="120"/>
      <c r="YT301" s="120"/>
      <c r="YU301" s="120"/>
      <c r="YV301" s="120"/>
      <c r="YW301" s="120"/>
      <c r="YX301" s="120"/>
      <c r="YY301" s="120"/>
      <c r="YZ301" s="120"/>
      <c r="ZA301" s="120"/>
      <c r="ZB301" s="120"/>
      <c r="ZC301" s="120"/>
      <c r="ZD301" s="120"/>
      <c r="ZE301" s="120"/>
      <c r="ZF301" s="120"/>
      <c r="ZG301" s="120"/>
      <c r="ZH301" s="120"/>
      <c r="ZI301" s="120"/>
      <c r="ZJ301" s="120"/>
      <c r="ZK301" s="120"/>
      <c r="ZL301" s="120"/>
      <c r="ZM301" s="120"/>
      <c r="ZN301" s="120"/>
      <c r="ZO301" s="120"/>
      <c r="ZP301" s="120"/>
      <c r="ZQ301" s="120"/>
      <c r="ZR301" s="120"/>
      <c r="ZS301" s="120"/>
      <c r="ZT301" s="120"/>
      <c r="ZU301" s="120"/>
      <c r="ZV301" s="120"/>
      <c r="ZW301" s="120"/>
      <c r="ZX301" s="120"/>
      <c r="ZY301" s="120"/>
      <c r="ZZ301" s="120"/>
      <c r="AAA301" s="120"/>
      <c r="AAB301" s="120"/>
      <c r="AAC301" s="120"/>
      <c r="AAD301" s="120"/>
      <c r="AAE301" s="120"/>
      <c r="AAF301" s="120"/>
      <c r="AAG301" s="120"/>
      <c r="AAH301" s="120"/>
      <c r="AAI301" s="120"/>
      <c r="AAJ301" s="120"/>
      <c r="AAK301" s="120"/>
      <c r="AAL301" s="120"/>
      <c r="AAM301" s="120"/>
      <c r="AAN301" s="120"/>
      <c r="AAO301" s="120"/>
      <c r="AAP301" s="120"/>
      <c r="AAQ301" s="120"/>
      <c r="AAR301" s="120"/>
      <c r="AAS301" s="120"/>
      <c r="AAT301" s="120"/>
      <c r="AAU301" s="120"/>
      <c r="AAV301" s="120"/>
      <c r="AAW301" s="120"/>
      <c r="AAX301" s="120"/>
      <c r="AAY301" s="120"/>
      <c r="AAZ301" s="120"/>
      <c r="ABA301" s="120"/>
      <c r="ABB301" s="120"/>
      <c r="ABC301" s="120"/>
      <c r="ABD301" s="120"/>
      <c r="ABE301" s="120"/>
      <c r="ABF301" s="120"/>
      <c r="ABG301" s="120"/>
      <c r="ABH301" s="120"/>
      <c r="ABI301" s="120"/>
      <c r="ABJ301" s="120"/>
      <c r="ABK301" s="120"/>
      <c r="ABL301" s="120"/>
      <c r="ABM301" s="120"/>
      <c r="ABN301" s="120"/>
      <c r="ABO301" s="120"/>
      <c r="ABP301" s="120"/>
      <c r="ABQ301" s="120"/>
      <c r="ABR301" s="120"/>
      <c r="ABS301" s="120"/>
      <c r="ABT301" s="120"/>
      <c r="ABU301" s="120"/>
      <c r="ABV301" s="120"/>
      <c r="ABW301" s="120"/>
      <c r="ABX301" s="120"/>
      <c r="ABY301" s="120"/>
      <c r="ABZ301" s="120"/>
      <c r="ACA301" s="120"/>
      <c r="ACB301" s="120"/>
      <c r="ACC301" s="120"/>
      <c r="ACD301" s="120"/>
      <c r="ACE301" s="120"/>
      <c r="ACF301" s="120"/>
      <c r="ACG301" s="120"/>
      <c r="ACH301" s="120"/>
      <c r="ACI301" s="120"/>
      <c r="ACJ301" s="120"/>
      <c r="ACK301" s="120"/>
      <c r="ACL301" s="120"/>
      <c r="ACM301" s="120"/>
      <c r="ACN301" s="120"/>
      <c r="ACO301" s="120"/>
      <c r="ACP301" s="120"/>
      <c r="ACQ301" s="120"/>
      <c r="ACR301" s="120"/>
      <c r="ACS301" s="120"/>
      <c r="ACT301" s="120"/>
      <c r="ACU301" s="120"/>
      <c r="ACV301" s="120"/>
      <c r="ACW301" s="120"/>
      <c r="ACX301" s="120"/>
      <c r="ACY301" s="120"/>
      <c r="ACZ301" s="120"/>
      <c r="ADA301" s="120"/>
      <c r="ADB301" s="120"/>
      <c r="ADC301" s="120"/>
      <c r="ADD301" s="120"/>
      <c r="ADE301" s="120"/>
      <c r="ADF301" s="120"/>
      <c r="ADG301" s="120"/>
      <c r="ADH301" s="120"/>
      <c r="ADI301" s="120"/>
      <c r="ADJ301" s="120"/>
      <c r="ADK301" s="120"/>
      <c r="ADL301" s="120"/>
      <c r="ADM301" s="120"/>
      <c r="ADN301" s="120"/>
      <c r="ADO301" s="120"/>
      <c r="ADP301" s="120"/>
      <c r="ADQ301" s="120"/>
      <c r="ADR301" s="120"/>
      <c r="ADS301" s="120"/>
      <c r="ADT301" s="120"/>
      <c r="ADU301" s="120"/>
      <c r="ADV301" s="120"/>
      <c r="ADW301" s="120"/>
      <c r="ADX301" s="120"/>
      <c r="ADY301" s="120"/>
      <c r="ADZ301" s="120"/>
      <c r="AEA301" s="120"/>
      <c r="AEB301" s="120"/>
      <c r="AEC301" s="120"/>
      <c r="AED301" s="120"/>
      <c r="AEE301" s="120"/>
      <c r="AEF301" s="120"/>
      <c r="AEG301" s="120"/>
      <c r="AEH301" s="120"/>
      <c r="AEI301" s="120"/>
      <c r="AEJ301" s="120"/>
      <c r="AEK301" s="120"/>
      <c r="AEL301" s="120"/>
      <c r="AEM301" s="120"/>
      <c r="AEN301" s="120"/>
      <c r="AEO301" s="120"/>
      <c r="AEP301" s="120"/>
      <c r="AEQ301" s="120"/>
      <c r="AER301" s="120"/>
      <c r="AES301" s="120"/>
      <c r="AET301" s="120"/>
      <c r="AEU301" s="120"/>
      <c r="AEV301" s="120"/>
      <c r="AEW301" s="120"/>
      <c r="AEX301" s="120"/>
      <c r="AEY301" s="120"/>
      <c r="AEZ301" s="120"/>
      <c r="AFA301" s="120"/>
      <c r="AFB301" s="120"/>
      <c r="AFC301" s="120"/>
      <c r="AFD301" s="120"/>
      <c r="AFE301" s="120"/>
      <c r="AFF301" s="120"/>
      <c r="AFG301" s="120"/>
      <c r="AFH301" s="120"/>
      <c r="AFI301" s="120"/>
      <c r="AFJ301" s="120"/>
      <c r="AFK301" s="120"/>
      <c r="AFL301" s="120"/>
      <c r="AFM301" s="120"/>
      <c r="AFN301" s="120"/>
      <c r="AFO301" s="120"/>
      <c r="AFP301" s="120"/>
      <c r="AFQ301" s="120"/>
      <c r="AFR301" s="120"/>
      <c r="AFS301" s="120"/>
      <c r="AFT301" s="120"/>
      <c r="AFU301" s="120"/>
      <c r="AFV301" s="120"/>
      <c r="AFW301" s="120"/>
      <c r="AFX301" s="120"/>
      <c r="AFY301" s="120"/>
      <c r="AFZ301" s="120"/>
      <c r="AGA301" s="120"/>
      <c r="AGB301" s="120"/>
      <c r="AGC301" s="120"/>
      <c r="AGD301" s="120"/>
      <c r="AGE301" s="120"/>
      <c r="AGF301" s="120"/>
      <c r="AGG301" s="120"/>
      <c r="AGH301" s="120"/>
      <c r="AGI301" s="120"/>
      <c r="AGJ301" s="120"/>
      <c r="AGK301" s="120"/>
      <c r="AGL301" s="120"/>
      <c r="AGM301" s="120"/>
      <c r="AGN301" s="120"/>
      <c r="AGO301" s="120"/>
      <c r="AGP301" s="120"/>
      <c r="AGQ301" s="120"/>
      <c r="AGR301" s="120"/>
      <c r="AGS301" s="120"/>
      <c r="AGT301" s="120"/>
      <c r="AGU301" s="120"/>
      <c r="AGV301" s="120"/>
      <c r="AGW301" s="120"/>
      <c r="AGX301" s="120"/>
      <c r="AGY301" s="120"/>
      <c r="AGZ301" s="120"/>
      <c r="AHA301" s="120"/>
      <c r="AHB301" s="120"/>
      <c r="AHC301" s="120"/>
      <c r="AHD301" s="120"/>
      <c r="AHE301" s="120"/>
      <c r="AHF301" s="120"/>
      <c r="AHG301" s="120"/>
      <c r="AHH301" s="120"/>
      <c r="AHI301" s="120"/>
      <c r="AHJ301" s="120"/>
      <c r="AHK301" s="120"/>
      <c r="AHL301" s="120"/>
      <c r="AHM301" s="120"/>
      <c r="AHN301" s="120"/>
      <c r="AHO301" s="120"/>
      <c r="AHP301" s="120"/>
      <c r="AHQ301" s="120"/>
      <c r="AHR301" s="120"/>
      <c r="AHS301" s="120"/>
      <c r="AHT301" s="120"/>
      <c r="AHU301" s="120"/>
      <c r="AHV301" s="120"/>
      <c r="AHW301" s="120"/>
      <c r="AHX301" s="120"/>
      <c r="AHY301" s="120"/>
      <c r="AHZ301" s="120"/>
      <c r="AIA301" s="120"/>
      <c r="AIB301" s="120"/>
      <c r="AIC301" s="120"/>
      <c r="AID301" s="120"/>
      <c r="AIE301" s="120"/>
      <c r="AIF301" s="120"/>
      <c r="AIG301" s="120"/>
      <c r="AIH301" s="120"/>
      <c r="AII301" s="120"/>
      <c r="AIJ301" s="120"/>
      <c r="AIK301" s="120"/>
      <c r="AIL301" s="120"/>
      <c r="AIM301" s="120"/>
      <c r="AIN301" s="120"/>
      <c r="AIO301" s="120"/>
      <c r="AIP301" s="120"/>
      <c r="AIQ301" s="120"/>
      <c r="AIR301" s="120"/>
      <c r="AIS301" s="120"/>
      <c r="AIT301" s="120"/>
      <c r="AIU301" s="120"/>
      <c r="AIV301" s="120"/>
      <c r="AIW301" s="120"/>
      <c r="AIX301" s="120"/>
      <c r="AIY301" s="120"/>
      <c r="AIZ301" s="120"/>
      <c r="AJA301" s="120"/>
      <c r="AJB301" s="120"/>
      <c r="AJC301" s="120"/>
      <c r="AJD301" s="120"/>
      <c r="AJE301" s="120"/>
      <c r="AJF301" s="120"/>
      <c r="AJG301" s="120"/>
      <c r="AJH301" s="120"/>
      <c r="AJI301" s="120"/>
      <c r="AJJ301" s="120"/>
      <c r="AJK301" s="120"/>
      <c r="AJL301" s="120"/>
      <c r="AJM301" s="120"/>
      <c r="AJN301" s="120"/>
      <c r="AJO301" s="120"/>
      <c r="AJP301" s="120"/>
      <c r="AJQ301" s="120"/>
      <c r="AJR301" s="120"/>
      <c r="AJS301" s="120"/>
      <c r="AJT301" s="120"/>
      <c r="AJU301" s="120"/>
      <c r="AJV301" s="120"/>
      <c r="AJW301" s="120"/>
      <c r="AJX301" s="120"/>
      <c r="AJY301" s="120"/>
      <c r="AJZ301" s="120"/>
      <c r="AKA301" s="120"/>
      <c r="AKB301" s="120"/>
      <c r="AKC301" s="120"/>
      <c r="AKD301" s="120"/>
      <c r="AKE301" s="120"/>
      <c r="AKF301" s="120"/>
      <c r="AKG301" s="120"/>
      <c r="AKH301" s="120"/>
      <c r="AKI301" s="120"/>
      <c r="AKJ301" s="120"/>
      <c r="AKK301" s="120"/>
      <c r="AKL301" s="120"/>
      <c r="AKM301" s="120"/>
      <c r="AKN301" s="120"/>
      <c r="AKO301" s="120"/>
      <c r="AKP301" s="120"/>
      <c r="AKQ301" s="120"/>
      <c r="AKR301" s="120"/>
      <c r="AKS301" s="120"/>
      <c r="AKT301" s="120"/>
      <c r="AKU301" s="120"/>
      <c r="AKV301" s="120"/>
      <c r="AKW301" s="120"/>
      <c r="AKX301" s="120"/>
      <c r="AKY301" s="120"/>
      <c r="AKZ301" s="120"/>
      <c r="ALA301" s="120"/>
      <c r="ALB301" s="120"/>
      <c r="ALC301" s="120"/>
      <c r="ALD301" s="120"/>
      <c r="ALE301" s="120"/>
      <c r="ALF301" s="120"/>
      <c r="ALG301" s="120"/>
      <c r="ALH301" s="120"/>
      <c r="ALI301" s="120"/>
      <c r="ALJ301" s="120"/>
      <c r="ALK301" s="120"/>
      <c r="ALL301" s="120"/>
      <c r="ALM301" s="120"/>
      <c r="ALN301" s="120"/>
      <c r="ALO301" s="120"/>
      <c r="ALP301" s="120"/>
      <c r="ALQ301" s="120"/>
      <c r="ALR301" s="120"/>
      <c r="ALS301" s="120"/>
      <c r="ALT301" s="120"/>
      <c r="ALU301" s="120"/>
      <c r="ALV301" s="120"/>
      <c r="ALW301" s="120"/>
      <c r="ALX301" s="120"/>
      <c r="ALY301" s="120"/>
      <c r="ALZ301" s="120"/>
      <c r="AMA301" s="120"/>
      <c r="AMB301" s="120"/>
      <c r="AMC301" s="120"/>
      <c r="AMD301" s="120"/>
      <c r="AME301" s="120"/>
      <c r="AMF301" s="120"/>
      <c r="AMG301" s="120"/>
      <c r="AMH301" s="120"/>
    </row>
    <row r="302" spans="1:1022" s="119" customFormat="1" ht="40.5" customHeight="1" x14ac:dyDescent="0.25">
      <c r="A302" s="121"/>
      <c r="B302" s="230" t="s">
        <v>264</v>
      </c>
      <c r="C302" s="231"/>
      <c r="D302" s="231"/>
      <c r="E302" s="231"/>
      <c r="F302" s="231"/>
      <c r="G302" s="174"/>
      <c r="H302" s="244" t="s">
        <v>265</v>
      </c>
      <c r="I302" s="244"/>
      <c r="J302" s="244"/>
      <c r="K302" s="244"/>
      <c r="L302" s="245"/>
      <c r="M302" s="120"/>
      <c r="N302" s="120"/>
      <c r="O302" s="120"/>
      <c r="P302" s="120"/>
      <c r="Q302" s="120"/>
      <c r="R302" s="120"/>
      <c r="S302" s="120"/>
      <c r="T302" s="120"/>
      <c r="U302" s="120"/>
      <c r="V302" s="120"/>
      <c r="W302" s="120"/>
      <c r="X302" s="120"/>
      <c r="Y302" s="120"/>
      <c r="Z302" s="120"/>
      <c r="AA302" s="120"/>
      <c r="AB302" s="120"/>
      <c r="AC302" s="120"/>
      <c r="AD302" s="120"/>
      <c r="AE302" s="120"/>
      <c r="AF302" s="120"/>
      <c r="AG302" s="120"/>
      <c r="AH302" s="120"/>
      <c r="AI302" s="120"/>
      <c r="AJ302" s="120"/>
      <c r="AK302" s="120"/>
      <c r="AL302" s="120"/>
      <c r="AM302" s="120"/>
      <c r="AN302" s="120"/>
      <c r="AO302" s="120"/>
      <c r="AP302" s="120"/>
      <c r="AQ302" s="120"/>
      <c r="AR302" s="120"/>
      <c r="AS302" s="120"/>
      <c r="AT302" s="120"/>
      <c r="AU302" s="120"/>
      <c r="AV302" s="120"/>
      <c r="AW302" s="120"/>
      <c r="AX302" s="120"/>
      <c r="AY302" s="120"/>
      <c r="AZ302" s="120"/>
      <c r="BA302" s="120"/>
      <c r="BB302" s="120"/>
      <c r="BC302" s="120"/>
      <c r="BD302" s="120"/>
      <c r="BE302" s="120"/>
      <c r="BF302" s="120"/>
      <c r="BG302" s="120"/>
      <c r="BH302" s="120"/>
      <c r="BI302" s="120"/>
      <c r="BJ302" s="120"/>
      <c r="BK302" s="120"/>
      <c r="BL302" s="120"/>
      <c r="BM302" s="120"/>
      <c r="BN302" s="120"/>
      <c r="BO302" s="120"/>
      <c r="BP302" s="120"/>
      <c r="BQ302" s="120"/>
      <c r="BR302" s="120"/>
      <c r="BS302" s="120"/>
      <c r="BT302" s="120"/>
      <c r="BU302" s="120"/>
      <c r="BV302" s="120"/>
      <c r="BW302" s="120"/>
      <c r="BX302" s="120"/>
      <c r="BY302" s="120"/>
      <c r="BZ302" s="120"/>
      <c r="CA302" s="120"/>
      <c r="CB302" s="120"/>
      <c r="CC302" s="120"/>
      <c r="CD302" s="120"/>
      <c r="CE302" s="120"/>
      <c r="CF302" s="120"/>
      <c r="CG302" s="120"/>
      <c r="CH302" s="120"/>
      <c r="CI302" s="120"/>
      <c r="CJ302" s="120"/>
      <c r="CK302" s="120"/>
      <c r="CL302" s="120"/>
      <c r="CM302" s="120"/>
      <c r="CN302" s="120"/>
      <c r="CO302" s="120"/>
      <c r="CP302" s="120"/>
      <c r="CQ302" s="120"/>
      <c r="CR302" s="120"/>
      <c r="CS302" s="120"/>
      <c r="CT302" s="120"/>
      <c r="CU302" s="120"/>
      <c r="CV302" s="120"/>
      <c r="CW302" s="120"/>
      <c r="CX302" s="120"/>
      <c r="CY302" s="120"/>
      <c r="CZ302" s="120"/>
      <c r="DA302" s="120"/>
      <c r="DB302" s="120"/>
      <c r="DC302" s="120"/>
      <c r="DD302" s="120"/>
      <c r="DE302" s="120"/>
      <c r="DF302" s="120"/>
      <c r="DG302" s="120"/>
      <c r="DH302" s="120"/>
      <c r="DI302" s="120"/>
      <c r="DJ302" s="120"/>
      <c r="DK302" s="120"/>
      <c r="DL302" s="120"/>
      <c r="DM302" s="120"/>
      <c r="DN302" s="120"/>
      <c r="DO302" s="120"/>
      <c r="DP302" s="120"/>
      <c r="DQ302" s="120"/>
      <c r="DR302" s="120"/>
      <c r="DS302" s="120"/>
      <c r="DT302" s="120"/>
      <c r="DU302" s="120"/>
      <c r="DV302" s="120"/>
      <c r="DW302" s="120"/>
      <c r="DX302" s="120"/>
      <c r="DY302" s="120"/>
      <c r="DZ302" s="120"/>
      <c r="EA302" s="120"/>
      <c r="EB302" s="120"/>
      <c r="EC302" s="120"/>
      <c r="ED302" s="120"/>
      <c r="EE302" s="120"/>
      <c r="EF302" s="120"/>
      <c r="EG302" s="120"/>
      <c r="EH302" s="120"/>
      <c r="EI302" s="120"/>
      <c r="EJ302" s="120"/>
      <c r="EK302" s="120"/>
      <c r="EL302" s="120"/>
      <c r="EM302" s="120"/>
      <c r="EN302" s="120"/>
      <c r="EO302" s="120"/>
      <c r="EP302" s="120"/>
      <c r="EQ302" s="120"/>
      <c r="ER302" s="120"/>
      <c r="ES302" s="120"/>
      <c r="ET302" s="120"/>
      <c r="EU302" s="120"/>
      <c r="EV302" s="120"/>
      <c r="EW302" s="120"/>
      <c r="EX302" s="120"/>
      <c r="EY302" s="120"/>
      <c r="EZ302" s="120"/>
      <c r="FA302" s="120"/>
      <c r="FB302" s="120"/>
      <c r="FC302" s="120"/>
      <c r="FD302" s="120"/>
      <c r="FE302" s="120"/>
      <c r="FF302" s="120"/>
      <c r="FG302" s="120"/>
      <c r="FH302" s="120"/>
      <c r="FI302" s="120"/>
      <c r="FJ302" s="120"/>
      <c r="FK302" s="120"/>
      <c r="FL302" s="120"/>
      <c r="FM302" s="120"/>
      <c r="FN302" s="120"/>
      <c r="FO302" s="120"/>
      <c r="FP302" s="120"/>
      <c r="FQ302" s="120"/>
      <c r="FR302" s="120"/>
      <c r="FS302" s="120"/>
      <c r="FT302" s="120"/>
      <c r="FU302" s="120"/>
      <c r="FV302" s="120"/>
      <c r="FW302" s="120"/>
      <c r="FX302" s="120"/>
      <c r="FY302" s="120"/>
      <c r="FZ302" s="120"/>
      <c r="GA302" s="120"/>
      <c r="GB302" s="120"/>
      <c r="GC302" s="120"/>
      <c r="GD302" s="120"/>
      <c r="GE302" s="120"/>
      <c r="GF302" s="120"/>
      <c r="GG302" s="120"/>
      <c r="GH302" s="120"/>
      <c r="GI302" s="120"/>
      <c r="GJ302" s="120"/>
      <c r="GK302" s="120"/>
      <c r="GL302" s="120"/>
      <c r="GM302" s="120"/>
      <c r="GN302" s="120"/>
      <c r="GO302" s="120"/>
      <c r="GP302" s="120"/>
      <c r="GQ302" s="120"/>
      <c r="GR302" s="120"/>
      <c r="GS302" s="120"/>
      <c r="GT302" s="120"/>
      <c r="GU302" s="120"/>
      <c r="GV302" s="120"/>
      <c r="GW302" s="120"/>
      <c r="GX302" s="120"/>
      <c r="GY302" s="120"/>
      <c r="GZ302" s="120"/>
      <c r="HA302" s="120"/>
      <c r="HB302" s="120"/>
      <c r="HC302" s="120"/>
      <c r="HD302" s="120"/>
      <c r="HE302" s="120"/>
      <c r="HF302" s="120"/>
      <c r="HG302" s="120"/>
      <c r="HH302" s="120"/>
      <c r="HI302" s="120"/>
      <c r="HJ302" s="120"/>
      <c r="HK302" s="120"/>
      <c r="HL302" s="120"/>
      <c r="HM302" s="120"/>
      <c r="HN302" s="120"/>
      <c r="HO302" s="120"/>
      <c r="HP302" s="120"/>
      <c r="HQ302" s="120"/>
      <c r="HR302" s="120"/>
      <c r="HS302" s="120"/>
      <c r="HT302" s="120"/>
      <c r="HU302" s="120"/>
      <c r="HV302" s="120"/>
      <c r="HW302" s="120"/>
      <c r="HX302" s="120"/>
      <c r="HY302" s="120"/>
      <c r="HZ302" s="120"/>
      <c r="IA302" s="120"/>
      <c r="IB302" s="120"/>
      <c r="IC302" s="120"/>
      <c r="ID302" s="120"/>
      <c r="IE302" s="120"/>
      <c r="IF302" s="120"/>
      <c r="IG302" s="120"/>
      <c r="IH302" s="120"/>
      <c r="II302" s="120"/>
      <c r="IJ302" s="120"/>
      <c r="IK302" s="120"/>
      <c r="IL302" s="120"/>
      <c r="IM302" s="120"/>
      <c r="IN302" s="120"/>
      <c r="IO302" s="120"/>
      <c r="IP302" s="120"/>
      <c r="IQ302" s="120"/>
      <c r="IR302" s="120"/>
      <c r="IS302" s="120"/>
      <c r="IT302" s="120"/>
      <c r="IU302" s="120"/>
      <c r="IV302" s="120"/>
      <c r="IW302" s="120"/>
      <c r="IX302" s="120"/>
      <c r="IY302" s="120"/>
      <c r="IZ302" s="120"/>
      <c r="JA302" s="120"/>
      <c r="JB302" s="120"/>
      <c r="JC302" s="120"/>
      <c r="JD302" s="120"/>
      <c r="JE302" s="120"/>
      <c r="JF302" s="120"/>
      <c r="JG302" s="120"/>
      <c r="JH302" s="120"/>
      <c r="JI302" s="120"/>
      <c r="JJ302" s="120"/>
      <c r="JK302" s="120"/>
      <c r="JL302" s="120"/>
      <c r="JM302" s="120"/>
      <c r="JN302" s="120"/>
      <c r="JO302" s="120"/>
      <c r="JP302" s="120"/>
      <c r="JQ302" s="120"/>
      <c r="JR302" s="120"/>
      <c r="JS302" s="120"/>
      <c r="JT302" s="120"/>
      <c r="JU302" s="120"/>
      <c r="JV302" s="120"/>
      <c r="JW302" s="120"/>
      <c r="JX302" s="120"/>
      <c r="JY302" s="120"/>
      <c r="JZ302" s="120"/>
      <c r="KA302" s="120"/>
      <c r="KB302" s="120"/>
      <c r="KC302" s="120"/>
      <c r="KD302" s="120"/>
      <c r="KE302" s="120"/>
      <c r="KF302" s="120"/>
      <c r="KG302" s="120"/>
      <c r="KH302" s="120"/>
      <c r="KI302" s="120"/>
      <c r="KJ302" s="120"/>
      <c r="KK302" s="120"/>
      <c r="KL302" s="120"/>
      <c r="KM302" s="120"/>
      <c r="KN302" s="120"/>
      <c r="KO302" s="120"/>
      <c r="KP302" s="120"/>
      <c r="KQ302" s="120"/>
      <c r="KR302" s="120"/>
      <c r="KS302" s="120"/>
      <c r="KT302" s="120"/>
      <c r="KU302" s="120"/>
      <c r="KV302" s="120"/>
      <c r="KW302" s="120"/>
      <c r="KX302" s="120"/>
      <c r="KY302" s="120"/>
      <c r="KZ302" s="120"/>
      <c r="LA302" s="120"/>
      <c r="LB302" s="120"/>
      <c r="LC302" s="120"/>
      <c r="LD302" s="120"/>
      <c r="LE302" s="120"/>
      <c r="LF302" s="120"/>
      <c r="LG302" s="120"/>
      <c r="LH302" s="120"/>
      <c r="LI302" s="120"/>
      <c r="LJ302" s="120"/>
      <c r="LK302" s="120"/>
      <c r="LL302" s="120"/>
      <c r="LM302" s="120"/>
      <c r="LN302" s="120"/>
      <c r="LO302" s="120"/>
      <c r="LP302" s="120"/>
      <c r="LQ302" s="120"/>
      <c r="LR302" s="120"/>
      <c r="LS302" s="120"/>
      <c r="LT302" s="120"/>
      <c r="LU302" s="120"/>
      <c r="LV302" s="120"/>
      <c r="LW302" s="120"/>
      <c r="LX302" s="120"/>
      <c r="LY302" s="120"/>
      <c r="LZ302" s="120"/>
      <c r="MA302" s="120"/>
      <c r="MB302" s="120"/>
      <c r="MC302" s="120"/>
      <c r="MD302" s="120"/>
      <c r="ME302" s="120"/>
      <c r="MF302" s="120"/>
      <c r="MG302" s="120"/>
      <c r="MH302" s="120"/>
      <c r="MI302" s="120"/>
      <c r="MJ302" s="120"/>
      <c r="MK302" s="120"/>
      <c r="ML302" s="120"/>
      <c r="MM302" s="120"/>
      <c r="MN302" s="120"/>
      <c r="MO302" s="120"/>
      <c r="MP302" s="120"/>
      <c r="MQ302" s="120"/>
      <c r="MR302" s="120"/>
      <c r="MS302" s="120"/>
      <c r="MT302" s="120"/>
      <c r="MU302" s="120"/>
      <c r="MV302" s="120"/>
      <c r="MW302" s="120"/>
      <c r="MX302" s="120"/>
      <c r="MY302" s="120"/>
      <c r="MZ302" s="120"/>
      <c r="NA302" s="120"/>
      <c r="NB302" s="120"/>
      <c r="NC302" s="120"/>
      <c r="ND302" s="120"/>
      <c r="NE302" s="120"/>
      <c r="NF302" s="120"/>
      <c r="NG302" s="120"/>
      <c r="NH302" s="120"/>
      <c r="NI302" s="120"/>
      <c r="NJ302" s="120"/>
      <c r="NK302" s="120"/>
      <c r="NL302" s="120"/>
      <c r="NM302" s="120"/>
      <c r="NN302" s="120"/>
      <c r="NO302" s="120"/>
      <c r="NP302" s="120"/>
      <c r="NQ302" s="120"/>
      <c r="NR302" s="120"/>
      <c r="NS302" s="120"/>
      <c r="NT302" s="120"/>
      <c r="NU302" s="120"/>
      <c r="NV302" s="120"/>
      <c r="NW302" s="120"/>
      <c r="NX302" s="120"/>
      <c r="NY302" s="120"/>
      <c r="NZ302" s="120"/>
      <c r="OA302" s="120"/>
      <c r="OB302" s="120"/>
      <c r="OC302" s="120"/>
      <c r="OD302" s="120"/>
      <c r="OE302" s="120"/>
      <c r="OF302" s="120"/>
      <c r="OG302" s="120"/>
      <c r="OH302" s="120"/>
      <c r="OI302" s="120"/>
      <c r="OJ302" s="120"/>
      <c r="OK302" s="120"/>
      <c r="OL302" s="120"/>
      <c r="OM302" s="120"/>
      <c r="ON302" s="120"/>
      <c r="OO302" s="120"/>
      <c r="OP302" s="120"/>
      <c r="OQ302" s="120"/>
      <c r="OR302" s="120"/>
      <c r="OS302" s="120"/>
      <c r="OT302" s="120"/>
      <c r="OU302" s="120"/>
      <c r="OV302" s="120"/>
      <c r="OW302" s="120"/>
      <c r="OX302" s="120"/>
      <c r="OY302" s="120"/>
      <c r="OZ302" s="120"/>
      <c r="PA302" s="120"/>
      <c r="PB302" s="120"/>
      <c r="PC302" s="120"/>
      <c r="PD302" s="120"/>
      <c r="PE302" s="120"/>
      <c r="PF302" s="120"/>
      <c r="PG302" s="120"/>
      <c r="PH302" s="120"/>
      <c r="PI302" s="120"/>
      <c r="PJ302" s="120"/>
      <c r="PK302" s="120"/>
      <c r="PL302" s="120"/>
      <c r="PM302" s="120"/>
      <c r="PN302" s="120"/>
      <c r="PO302" s="120"/>
      <c r="PP302" s="120"/>
      <c r="PQ302" s="120"/>
      <c r="PR302" s="120"/>
      <c r="PS302" s="120"/>
      <c r="PT302" s="120"/>
      <c r="PU302" s="120"/>
      <c r="PV302" s="120"/>
      <c r="PW302" s="120"/>
      <c r="PX302" s="120"/>
      <c r="PY302" s="120"/>
      <c r="PZ302" s="120"/>
      <c r="QA302" s="120"/>
      <c r="QB302" s="120"/>
      <c r="QC302" s="120"/>
      <c r="QD302" s="120"/>
      <c r="QE302" s="120"/>
      <c r="QF302" s="120"/>
      <c r="QG302" s="120"/>
      <c r="QH302" s="120"/>
      <c r="QI302" s="120"/>
      <c r="QJ302" s="120"/>
      <c r="QK302" s="120"/>
      <c r="QL302" s="120"/>
      <c r="QM302" s="120"/>
      <c r="QN302" s="120"/>
      <c r="QO302" s="120"/>
      <c r="QP302" s="120"/>
      <c r="QQ302" s="120"/>
      <c r="QR302" s="120"/>
      <c r="QS302" s="120"/>
      <c r="QT302" s="120"/>
      <c r="QU302" s="120"/>
      <c r="QV302" s="120"/>
      <c r="QW302" s="120"/>
      <c r="QX302" s="120"/>
      <c r="QY302" s="120"/>
      <c r="QZ302" s="120"/>
      <c r="RA302" s="120"/>
      <c r="RB302" s="120"/>
      <c r="RC302" s="120"/>
      <c r="RD302" s="120"/>
      <c r="RE302" s="120"/>
      <c r="RF302" s="120"/>
      <c r="RG302" s="120"/>
      <c r="RH302" s="120"/>
      <c r="RI302" s="120"/>
      <c r="RJ302" s="120"/>
      <c r="RK302" s="120"/>
      <c r="RL302" s="120"/>
      <c r="RM302" s="120"/>
      <c r="RN302" s="120"/>
      <c r="RO302" s="120"/>
      <c r="RP302" s="120"/>
      <c r="RQ302" s="120"/>
      <c r="RR302" s="120"/>
      <c r="RS302" s="120"/>
      <c r="RT302" s="120"/>
      <c r="RU302" s="120"/>
      <c r="RV302" s="120"/>
      <c r="RW302" s="120"/>
      <c r="RX302" s="120"/>
      <c r="RY302" s="120"/>
      <c r="RZ302" s="120"/>
      <c r="SA302" s="120"/>
      <c r="SB302" s="120"/>
      <c r="SC302" s="120"/>
      <c r="SD302" s="120"/>
      <c r="SE302" s="120"/>
      <c r="SF302" s="120"/>
      <c r="SG302" s="120"/>
      <c r="SH302" s="120"/>
      <c r="SI302" s="120"/>
      <c r="SJ302" s="120"/>
      <c r="SK302" s="120"/>
      <c r="SL302" s="120"/>
      <c r="SM302" s="120"/>
      <c r="SN302" s="120"/>
      <c r="SO302" s="120"/>
      <c r="SP302" s="120"/>
      <c r="SQ302" s="120"/>
      <c r="SR302" s="120"/>
      <c r="SS302" s="120"/>
      <c r="ST302" s="120"/>
      <c r="SU302" s="120"/>
      <c r="SV302" s="120"/>
      <c r="SW302" s="120"/>
      <c r="SX302" s="120"/>
      <c r="SY302" s="120"/>
      <c r="SZ302" s="120"/>
      <c r="TA302" s="120"/>
      <c r="TB302" s="120"/>
      <c r="TC302" s="120"/>
      <c r="TD302" s="120"/>
      <c r="TE302" s="120"/>
      <c r="TF302" s="120"/>
      <c r="TG302" s="120"/>
      <c r="TH302" s="120"/>
      <c r="TI302" s="120"/>
      <c r="TJ302" s="120"/>
      <c r="TK302" s="120"/>
      <c r="TL302" s="120"/>
      <c r="TM302" s="120"/>
      <c r="TN302" s="120"/>
      <c r="TO302" s="120"/>
      <c r="TP302" s="120"/>
      <c r="TQ302" s="120"/>
      <c r="TR302" s="120"/>
      <c r="TS302" s="120"/>
      <c r="TT302" s="120"/>
      <c r="TU302" s="120"/>
      <c r="TV302" s="120"/>
      <c r="TW302" s="120"/>
      <c r="TX302" s="120"/>
      <c r="TY302" s="120"/>
      <c r="TZ302" s="120"/>
      <c r="UA302" s="120"/>
      <c r="UB302" s="120"/>
      <c r="UC302" s="120"/>
      <c r="UD302" s="120"/>
      <c r="UE302" s="120"/>
      <c r="UF302" s="120"/>
      <c r="UG302" s="120"/>
      <c r="UH302" s="120"/>
      <c r="UI302" s="120"/>
      <c r="UJ302" s="120"/>
      <c r="UK302" s="120"/>
      <c r="UL302" s="120"/>
      <c r="UM302" s="120"/>
      <c r="UN302" s="120"/>
      <c r="UO302" s="120"/>
      <c r="UP302" s="120"/>
      <c r="UQ302" s="120"/>
      <c r="UR302" s="120"/>
      <c r="US302" s="120"/>
      <c r="UT302" s="120"/>
      <c r="UU302" s="120"/>
      <c r="UV302" s="120"/>
      <c r="UW302" s="120"/>
      <c r="UX302" s="120"/>
      <c r="UY302" s="120"/>
      <c r="UZ302" s="120"/>
      <c r="VA302" s="120"/>
      <c r="VB302" s="120"/>
      <c r="VC302" s="120"/>
      <c r="VD302" s="120"/>
      <c r="VE302" s="120"/>
      <c r="VF302" s="120"/>
      <c r="VG302" s="120"/>
      <c r="VH302" s="120"/>
      <c r="VI302" s="120"/>
      <c r="VJ302" s="120"/>
      <c r="VK302" s="120"/>
      <c r="VL302" s="120"/>
      <c r="VM302" s="120"/>
      <c r="VN302" s="120"/>
      <c r="VO302" s="120"/>
      <c r="VP302" s="120"/>
      <c r="VQ302" s="120"/>
      <c r="VR302" s="120"/>
      <c r="VS302" s="120"/>
      <c r="VT302" s="120"/>
      <c r="VU302" s="120"/>
      <c r="VV302" s="120"/>
      <c r="VW302" s="120"/>
      <c r="VX302" s="120"/>
      <c r="VY302" s="120"/>
      <c r="VZ302" s="120"/>
      <c r="WA302" s="120"/>
      <c r="WB302" s="120"/>
      <c r="WC302" s="120"/>
      <c r="WD302" s="120"/>
      <c r="WE302" s="120"/>
      <c r="WF302" s="120"/>
      <c r="WG302" s="120"/>
      <c r="WH302" s="120"/>
      <c r="WI302" s="120"/>
      <c r="WJ302" s="120"/>
      <c r="WK302" s="120"/>
      <c r="WL302" s="120"/>
      <c r="WM302" s="120"/>
      <c r="WN302" s="120"/>
      <c r="WO302" s="120"/>
      <c r="WP302" s="120"/>
      <c r="WQ302" s="120"/>
      <c r="WR302" s="120"/>
      <c r="WS302" s="120"/>
      <c r="WT302" s="120"/>
      <c r="WU302" s="120"/>
      <c r="WV302" s="120"/>
      <c r="WW302" s="120"/>
      <c r="WX302" s="120"/>
      <c r="WY302" s="120"/>
      <c r="WZ302" s="120"/>
      <c r="XA302" s="120"/>
      <c r="XB302" s="120"/>
      <c r="XC302" s="120"/>
      <c r="XD302" s="120"/>
      <c r="XE302" s="120"/>
      <c r="XF302" s="120"/>
      <c r="XG302" s="120"/>
      <c r="XH302" s="120"/>
      <c r="XI302" s="120"/>
      <c r="XJ302" s="120"/>
      <c r="XK302" s="120"/>
      <c r="XL302" s="120"/>
      <c r="XM302" s="120"/>
      <c r="XN302" s="120"/>
      <c r="XO302" s="120"/>
      <c r="XP302" s="120"/>
      <c r="XQ302" s="120"/>
      <c r="XR302" s="120"/>
      <c r="XS302" s="120"/>
      <c r="XT302" s="120"/>
      <c r="XU302" s="120"/>
      <c r="XV302" s="120"/>
      <c r="XW302" s="120"/>
      <c r="XX302" s="120"/>
      <c r="XY302" s="120"/>
      <c r="XZ302" s="120"/>
      <c r="YA302" s="120"/>
      <c r="YB302" s="120"/>
      <c r="YC302" s="120"/>
      <c r="YD302" s="120"/>
      <c r="YE302" s="120"/>
      <c r="YF302" s="120"/>
      <c r="YG302" s="120"/>
      <c r="YH302" s="120"/>
      <c r="YI302" s="120"/>
      <c r="YJ302" s="120"/>
      <c r="YK302" s="120"/>
      <c r="YL302" s="120"/>
      <c r="YM302" s="120"/>
      <c r="YN302" s="120"/>
      <c r="YO302" s="120"/>
      <c r="YP302" s="120"/>
      <c r="YQ302" s="120"/>
      <c r="YR302" s="120"/>
      <c r="YS302" s="120"/>
      <c r="YT302" s="120"/>
      <c r="YU302" s="120"/>
      <c r="YV302" s="120"/>
      <c r="YW302" s="120"/>
      <c r="YX302" s="120"/>
      <c r="YY302" s="120"/>
      <c r="YZ302" s="120"/>
      <c r="ZA302" s="120"/>
      <c r="ZB302" s="120"/>
      <c r="ZC302" s="120"/>
      <c r="ZD302" s="120"/>
      <c r="ZE302" s="120"/>
      <c r="ZF302" s="120"/>
      <c r="ZG302" s="120"/>
      <c r="ZH302" s="120"/>
      <c r="ZI302" s="120"/>
      <c r="ZJ302" s="120"/>
      <c r="ZK302" s="120"/>
      <c r="ZL302" s="120"/>
      <c r="ZM302" s="120"/>
      <c r="ZN302" s="120"/>
      <c r="ZO302" s="120"/>
      <c r="ZP302" s="120"/>
      <c r="ZQ302" s="120"/>
      <c r="ZR302" s="120"/>
      <c r="ZS302" s="120"/>
      <c r="ZT302" s="120"/>
      <c r="ZU302" s="120"/>
      <c r="ZV302" s="120"/>
      <c r="ZW302" s="120"/>
      <c r="ZX302" s="120"/>
      <c r="ZY302" s="120"/>
      <c r="ZZ302" s="120"/>
      <c r="AAA302" s="120"/>
      <c r="AAB302" s="120"/>
      <c r="AAC302" s="120"/>
      <c r="AAD302" s="120"/>
      <c r="AAE302" s="120"/>
      <c r="AAF302" s="120"/>
      <c r="AAG302" s="120"/>
      <c r="AAH302" s="120"/>
      <c r="AAI302" s="120"/>
      <c r="AAJ302" s="120"/>
      <c r="AAK302" s="120"/>
      <c r="AAL302" s="120"/>
      <c r="AAM302" s="120"/>
      <c r="AAN302" s="120"/>
      <c r="AAO302" s="120"/>
      <c r="AAP302" s="120"/>
      <c r="AAQ302" s="120"/>
      <c r="AAR302" s="120"/>
      <c r="AAS302" s="120"/>
      <c r="AAT302" s="120"/>
      <c r="AAU302" s="120"/>
      <c r="AAV302" s="120"/>
      <c r="AAW302" s="120"/>
      <c r="AAX302" s="120"/>
      <c r="AAY302" s="120"/>
      <c r="AAZ302" s="120"/>
      <c r="ABA302" s="120"/>
      <c r="ABB302" s="120"/>
      <c r="ABC302" s="120"/>
      <c r="ABD302" s="120"/>
      <c r="ABE302" s="120"/>
      <c r="ABF302" s="120"/>
      <c r="ABG302" s="120"/>
      <c r="ABH302" s="120"/>
      <c r="ABI302" s="120"/>
      <c r="ABJ302" s="120"/>
      <c r="ABK302" s="120"/>
      <c r="ABL302" s="120"/>
      <c r="ABM302" s="120"/>
      <c r="ABN302" s="120"/>
      <c r="ABO302" s="120"/>
      <c r="ABP302" s="120"/>
      <c r="ABQ302" s="120"/>
      <c r="ABR302" s="120"/>
      <c r="ABS302" s="120"/>
      <c r="ABT302" s="120"/>
      <c r="ABU302" s="120"/>
      <c r="ABV302" s="120"/>
      <c r="ABW302" s="120"/>
      <c r="ABX302" s="120"/>
      <c r="ABY302" s="120"/>
      <c r="ABZ302" s="120"/>
      <c r="ACA302" s="120"/>
      <c r="ACB302" s="120"/>
      <c r="ACC302" s="120"/>
      <c r="ACD302" s="120"/>
      <c r="ACE302" s="120"/>
      <c r="ACF302" s="120"/>
      <c r="ACG302" s="120"/>
      <c r="ACH302" s="120"/>
      <c r="ACI302" s="120"/>
      <c r="ACJ302" s="120"/>
      <c r="ACK302" s="120"/>
      <c r="ACL302" s="120"/>
      <c r="ACM302" s="120"/>
      <c r="ACN302" s="120"/>
      <c r="ACO302" s="120"/>
      <c r="ACP302" s="120"/>
      <c r="ACQ302" s="120"/>
      <c r="ACR302" s="120"/>
      <c r="ACS302" s="120"/>
      <c r="ACT302" s="120"/>
      <c r="ACU302" s="120"/>
      <c r="ACV302" s="120"/>
      <c r="ACW302" s="120"/>
      <c r="ACX302" s="120"/>
      <c r="ACY302" s="120"/>
      <c r="ACZ302" s="120"/>
      <c r="ADA302" s="120"/>
      <c r="ADB302" s="120"/>
      <c r="ADC302" s="120"/>
      <c r="ADD302" s="120"/>
      <c r="ADE302" s="120"/>
      <c r="ADF302" s="120"/>
      <c r="ADG302" s="120"/>
      <c r="ADH302" s="120"/>
      <c r="ADI302" s="120"/>
      <c r="ADJ302" s="120"/>
      <c r="ADK302" s="120"/>
      <c r="ADL302" s="120"/>
      <c r="ADM302" s="120"/>
      <c r="ADN302" s="120"/>
      <c r="ADO302" s="120"/>
      <c r="ADP302" s="120"/>
      <c r="ADQ302" s="120"/>
      <c r="ADR302" s="120"/>
      <c r="ADS302" s="120"/>
      <c r="ADT302" s="120"/>
      <c r="ADU302" s="120"/>
      <c r="ADV302" s="120"/>
      <c r="ADW302" s="120"/>
      <c r="ADX302" s="120"/>
      <c r="ADY302" s="120"/>
      <c r="ADZ302" s="120"/>
      <c r="AEA302" s="120"/>
      <c r="AEB302" s="120"/>
      <c r="AEC302" s="120"/>
      <c r="AED302" s="120"/>
      <c r="AEE302" s="120"/>
      <c r="AEF302" s="120"/>
      <c r="AEG302" s="120"/>
      <c r="AEH302" s="120"/>
      <c r="AEI302" s="120"/>
      <c r="AEJ302" s="120"/>
      <c r="AEK302" s="120"/>
      <c r="AEL302" s="120"/>
      <c r="AEM302" s="120"/>
      <c r="AEN302" s="120"/>
      <c r="AEO302" s="120"/>
      <c r="AEP302" s="120"/>
      <c r="AEQ302" s="120"/>
      <c r="AER302" s="120"/>
      <c r="AES302" s="120"/>
      <c r="AET302" s="120"/>
      <c r="AEU302" s="120"/>
      <c r="AEV302" s="120"/>
      <c r="AEW302" s="120"/>
      <c r="AEX302" s="120"/>
      <c r="AEY302" s="120"/>
      <c r="AEZ302" s="120"/>
      <c r="AFA302" s="120"/>
      <c r="AFB302" s="120"/>
      <c r="AFC302" s="120"/>
      <c r="AFD302" s="120"/>
      <c r="AFE302" s="120"/>
      <c r="AFF302" s="120"/>
      <c r="AFG302" s="120"/>
      <c r="AFH302" s="120"/>
      <c r="AFI302" s="120"/>
      <c r="AFJ302" s="120"/>
      <c r="AFK302" s="120"/>
      <c r="AFL302" s="120"/>
      <c r="AFM302" s="120"/>
      <c r="AFN302" s="120"/>
      <c r="AFO302" s="120"/>
      <c r="AFP302" s="120"/>
      <c r="AFQ302" s="120"/>
      <c r="AFR302" s="120"/>
      <c r="AFS302" s="120"/>
      <c r="AFT302" s="120"/>
      <c r="AFU302" s="120"/>
      <c r="AFV302" s="120"/>
      <c r="AFW302" s="120"/>
      <c r="AFX302" s="120"/>
      <c r="AFY302" s="120"/>
      <c r="AFZ302" s="120"/>
      <c r="AGA302" s="120"/>
      <c r="AGB302" s="120"/>
      <c r="AGC302" s="120"/>
      <c r="AGD302" s="120"/>
      <c r="AGE302" s="120"/>
      <c r="AGF302" s="120"/>
      <c r="AGG302" s="120"/>
      <c r="AGH302" s="120"/>
      <c r="AGI302" s="120"/>
      <c r="AGJ302" s="120"/>
      <c r="AGK302" s="120"/>
      <c r="AGL302" s="120"/>
      <c r="AGM302" s="120"/>
      <c r="AGN302" s="120"/>
      <c r="AGO302" s="120"/>
      <c r="AGP302" s="120"/>
      <c r="AGQ302" s="120"/>
      <c r="AGR302" s="120"/>
      <c r="AGS302" s="120"/>
      <c r="AGT302" s="120"/>
      <c r="AGU302" s="120"/>
      <c r="AGV302" s="120"/>
      <c r="AGW302" s="120"/>
      <c r="AGX302" s="120"/>
      <c r="AGY302" s="120"/>
      <c r="AGZ302" s="120"/>
      <c r="AHA302" s="120"/>
      <c r="AHB302" s="120"/>
      <c r="AHC302" s="120"/>
      <c r="AHD302" s="120"/>
      <c r="AHE302" s="120"/>
      <c r="AHF302" s="120"/>
      <c r="AHG302" s="120"/>
      <c r="AHH302" s="120"/>
      <c r="AHI302" s="120"/>
      <c r="AHJ302" s="120"/>
      <c r="AHK302" s="120"/>
      <c r="AHL302" s="120"/>
      <c r="AHM302" s="120"/>
      <c r="AHN302" s="120"/>
      <c r="AHO302" s="120"/>
      <c r="AHP302" s="120"/>
      <c r="AHQ302" s="120"/>
      <c r="AHR302" s="120"/>
      <c r="AHS302" s="120"/>
      <c r="AHT302" s="120"/>
      <c r="AHU302" s="120"/>
      <c r="AHV302" s="120"/>
      <c r="AHW302" s="120"/>
      <c r="AHX302" s="120"/>
      <c r="AHY302" s="120"/>
      <c r="AHZ302" s="120"/>
      <c r="AIA302" s="120"/>
      <c r="AIB302" s="120"/>
      <c r="AIC302" s="120"/>
      <c r="AID302" s="120"/>
      <c r="AIE302" s="120"/>
      <c r="AIF302" s="120"/>
      <c r="AIG302" s="120"/>
      <c r="AIH302" s="120"/>
      <c r="AII302" s="120"/>
      <c r="AIJ302" s="120"/>
      <c r="AIK302" s="120"/>
      <c r="AIL302" s="120"/>
      <c r="AIM302" s="120"/>
      <c r="AIN302" s="120"/>
      <c r="AIO302" s="120"/>
      <c r="AIP302" s="120"/>
      <c r="AIQ302" s="120"/>
      <c r="AIR302" s="120"/>
      <c r="AIS302" s="120"/>
      <c r="AIT302" s="120"/>
      <c r="AIU302" s="120"/>
      <c r="AIV302" s="120"/>
      <c r="AIW302" s="120"/>
      <c r="AIX302" s="120"/>
      <c r="AIY302" s="120"/>
      <c r="AIZ302" s="120"/>
      <c r="AJA302" s="120"/>
      <c r="AJB302" s="120"/>
      <c r="AJC302" s="120"/>
      <c r="AJD302" s="120"/>
      <c r="AJE302" s="120"/>
      <c r="AJF302" s="120"/>
      <c r="AJG302" s="120"/>
      <c r="AJH302" s="120"/>
      <c r="AJI302" s="120"/>
      <c r="AJJ302" s="120"/>
      <c r="AJK302" s="120"/>
      <c r="AJL302" s="120"/>
      <c r="AJM302" s="120"/>
      <c r="AJN302" s="120"/>
      <c r="AJO302" s="120"/>
      <c r="AJP302" s="120"/>
      <c r="AJQ302" s="120"/>
      <c r="AJR302" s="120"/>
      <c r="AJS302" s="120"/>
      <c r="AJT302" s="120"/>
      <c r="AJU302" s="120"/>
      <c r="AJV302" s="120"/>
      <c r="AJW302" s="120"/>
      <c r="AJX302" s="120"/>
      <c r="AJY302" s="120"/>
      <c r="AJZ302" s="120"/>
      <c r="AKA302" s="120"/>
      <c r="AKB302" s="120"/>
      <c r="AKC302" s="120"/>
      <c r="AKD302" s="120"/>
      <c r="AKE302" s="120"/>
      <c r="AKF302" s="120"/>
      <c r="AKG302" s="120"/>
      <c r="AKH302" s="120"/>
      <c r="AKI302" s="120"/>
      <c r="AKJ302" s="120"/>
      <c r="AKK302" s="120"/>
      <c r="AKL302" s="120"/>
      <c r="AKM302" s="120"/>
      <c r="AKN302" s="120"/>
      <c r="AKO302" s="120"/>
      <c r="AKP302" s="120"/>
      <c r="AKQ302" s="120"/>
      <c r="AKR302" s="120"/>
      <c r="AKS302" s="120"/>
      <c r="AKT302" s="120"/>
      <c r="AKU302" s="120"/>
      <c r="AKV302" s="120"/>
      <c r="AKW302" s="120"/>
      <c r="AKX302" s="120"/>
      <c r="AKY302" s="120"/>
      <c r="AKZ302" s="120"/>
      <c r="ALA302" s="120"/>
      <c r="ALB302" s="120"/>
      <c r="ALC302" s="120"/>
      <c r="ALD302" s="120"/>
      <c r="ALE302" s="120"/>
      <c r="ALF302" s="120"/>
      <c r="ALG302" s="120"/>
      <c r="ALH302" s="120"/>
      <c r="ALI302" s="120"/>
      <c r="ALJ302" s="120"/>
      <c r="ALK302" s="120"/>
      <c r="ALL302" s="120"/>
      <c r="ALM302" s="120"/>
      <c r="ALN302" s="120"/>
      <c r="ALO302" s="120"/>
      <c r="ALP302" s="120"/>
      <c r="ALQ302" s="120"/>
      <c r="ALR302" s="120"/>
      <c r="ALS302" s="120"/>
      <c r="ALT302" s="120"/>
      <c r="ALU302" s="120"/>
      <c r="ALV302" s="120"/>
      <c r="ALW302" s="120"/>
      <c r="ALX302" s="120"/>
      <c r="ALY302" s="120"/>
      <c r="ALZ302" s="120"/>
      <c r="AMA302" s="120"/>
      <c r="AMB302" s="120"/>
      <c r="AMC302" s="120"/>
      <c r="AMD302" s="120"/>
      <c r="AME302" s="120"/>
      <c r="AMF302" s="120"/>
      <c r="AMG302" s="120"/>
      <c r="AMH302" s="120"/>
    </row>
    <row r="303" spans="1:1022" s="119" customFormat="1" ht="16.5" thickBot="1" x14ac:dyDescent="0.3">
      <c r="A303" s="121"/>
      <c r="B303" s="240" t="s">
        <v>153</v>
      </c>
      <c r="C303" s="241"/>
      <c r="D303" s="241"/>
      <c r="E303" s="241"/>
      <c r="F303" s="241"/>
      <c r="G303" s="175"/>
      <c r="H303" s="242"/>
      <c r="I303" s="242"/>
      <c r="J303" s="242"/>
      <c r="K303" s="242"/>
      <c r="L303" s="243"/>
      <c r="M303" s="120"/>
      <c r="N303" s="120"/>
      <c r="O303" s="120"/>
      <c r="P303" s="120"/>
      <c r="Q303" s="120"/>
      <c r="R303" s="120"/>
      <c r="S303" s="120"/>
      <c r="T303" s="120"/>
      <c r="U303" s="120"/>
      <c r="V303" s="120"/>
      <c r="W303" s="120"/>
      <c r="X303" s="120"/>
      <c r="Y303" s="120"/>
      <c r="Z303" s="120"/>
      <c r="AA303" s="120"/>
      <c r="AB303" s="120"/>
      <c r="AC303" s="120"/>
      <c r="AD303" s="120"/>
      <c r="AE303" s="120"/>
      <c r="AF303" s="120"/>
      <c r="AG303" s="120"/>
      <c r="AH303" s="120"/>
      <c r="AI303" s="120"/>
      <c r="AJ303" s="120"/>
      <c r="AK303" s="120"/>
      <c r="AL303" s="120"/>
      <c r="AM303" s="120"/>
      <c r="AN303" s="120"/>
      <c r="AO303" s="120"/>
      <c r="AP303" s="120"/>
      <c r="AQ303" s="120"/>
      <c r="AR303" s="120"/>
      <c r="AS303" s="120"/>
      <c r="AT303" s="120"/>
      <c r="AU303" s="120"/>
      <c r="AV303" s="120"/>
      <c r="AW303" s="120"/>
      <c r="AX303" s="120"/>
      <c r="AY303" s="120"/>
      <c r="AZ303" s="120"/>
      <c r="BA303" s="120"/>
      <c r="BB303" s="120"/>
      <c r="BC303" s="120"/>
      <c r="BD303" s="120"/>
      <c r="BE303" s="120"/>
      <c r="BF303" s="120"/>
      <c r="BG303" s="120"/>
      <c r="BH303" s="120"/>
      <c r="BI303" s="120"/>
      <c r="BJ303" s="120"/>
      <c r="BK303" s="120"/>
      <c r="BL303" s="120"/>
      <c r="BM303" s="120"/>
      <c r="BN303" s="120"/>
      <c r="BO303" s="120"/>
      <c r="BP303" s="120"/>
      <c r="BQ303" s="120"/>
      <c r="BR303" s="120"/>
      <c r="BS303" s="120"/>
      <c r="BT303" s="120"/>
      <c r="BU303" s="120"/>
      <c r="BV303" s="120"/>
      <c r="BW303" s="120"/>
      <c r="BX303" s="120"/>
      <c r="BY303" s="120"/>
      <c r="BZ303" s="120"/>
      <c r="CA303" s="120"/>
      <c r="CB303" s="120"/>
      <c r="CC303" s="120"/>
      <c r="CD303" s="120"/>
      <c r="CE303" s="120"/>
      <c r="CF303" s="120"/>
      <c r="CG303" s="120"/>
      <c r="CH303" s="120"/>
      <c r="CI303" s="120"/>
      <c r="CJ303" s="120"/>
      <c r="CK303" s="120"/>
      <c r="CL303" s="120"/>
      <c r="CM303" s="120"/>
      <c r="CN303" s="120"/>
      <c r="CO303" s="120"/>
      <c r="CP303" s="120"/>
      <c r="CQ303" s="120"/>
      <c r="CR303" s="120"/>
      <c r="CS303" s="120"/>
      <c r="CT303" s="120"/>
      <c r="CU303" s="120"/>
      <c r="CV303" s="120"/>
      <c r="CW303" s="120"/>
      <c r="CX303" s="120"/>
      <c r="CY303" s="120"/>
      <c r="CZ303" s="120"/>
      <c r="DA303" s="120"/>
      <c r="DB303" s="120"/>
      <c r="DC303" s="120"/>
      <c r="DD303" s="120"/>
      <c r="DE303" s="120"/>
      <c r="DF303" s="120"/>
      <c r="DG303" s="120"/>
      <c r="DH303" s="120"/>
      <c r="DI303" s="120"/>
      <c r="DJ303" s="120"/>
      <c r="DK303" s="120"/>
      <c r="DL303" s="120"/>
      <c r="DM303" s="120"/>
      <c r="DN303" s="120"/>
      <c r="DO303" s="120"/>
      <c r="DP303" s="120"/>
      <c r="DQ303" s="120"/>
      <c r="DR303" s="120"/>
      <c r="DS303" s="120"/>
      <c r="DT303" s="120"/>
      <c r="DU303" s="120"/>
      <c r="DV303" s="120"/>
      <c r="DW303" s="120"/>
      <c r="DX303" s="120"/>
      <c r="DY303" s="120"/>
      <c r="DZ303" s="120"/>
      <c r="EA303" s="120"/>
      <c r="EB303" s="120"/>
      <c r="EC303" s="120"/>
      <c r="ED303" s="120"/>
      <c r="EE303" s="120"/>
      <c r="EF303" s="120"/>
      <c r="EG303" s="120"/>
      <c r="EH303" s="120"/>
      <c r="EI303" s="120"/>
      <c r="EJ303" s="120"/>
      <c r="EK303" s="120"/>
      <c r="EL303" s="120"/>
      <c r="EM303" s="120"/>
      <c r="EN303" s="120"/>
      <c r="EO303" s="120"/>
      <c r="EP303" s="120"/>
      <c r="EQ303" s="120"/>
      <c r="ER303" s="120"/>
      <c r="ES303" s="120"/>
      <c r="ET303" s="120"/>
      <c r="EU303" s="120"/>
      <c r="EV303" s="120"/>
      <c r="EW303" s="120"/>
      <c r="EX303" s="120"/>
      <c r="EY303" s="120"/>
      <c r="EZ303" s="120"/>
      <c r="FA303" s="120"/>
      <c r="FB303" s="120"/>
      <c r="FC303" s="120"/>
      <c r="FD303" s="120"/>
      <c r="FE303" s="120"/>
      <c r="FF303" s="120"/>
      <c r="FG303" s="120"/>
      <c r="FH303" s="120"/>
      <c r="FI303" s="120"/>
      <c r="FJ303" s="120"/>
      <c r="FK303" s="120"/>
      <c r="FL303" s="120"/>
      <c r="FM303" s="120"/>
      <c r="FN303" s="120"/>
      <c r="FO303" s="120"/>
      <c r="FP303" s="120"/>
      <c r="FQ303" s="120"/>
      <c r="FR303" s="120"/>
      <c r="FS303" s="120"/>
      <c r="FT303" s="120"/>
      <c r="FU303" s="120"/>
      <c r="FV303" s="120"/>
      <c r="FW303" s="120"/>
      <c r="FX303" s="120"/>
      <c r="FY303" s="120"/>
      <c r="FZ303" s="120"/>
      <c r="GA303" s="120"/>
      <c r="GB303" s="120"/>
      <c r="GC303" s="120"/>
      <c r="GD303" s="120"/>
      <c r="GE303" s="120"/>
      <c r="GF303" s="120"/>
      <c r="GG303" s="120"/>
      <c r="GH303" s="120"/>
      <c r="GI303" s="120"/>
      <c r="GJ303" s="120"/>
      <c r="GK303" s="120"/>
      <c r="GL303" s="120"/>
      <c r="GM303" s="120"/>
      <c r="GN303" s="120"/>
      <c r="GO303" s="120"/>
      <c r="GP303" s="120"/>
      <c r="GQ303" s="120"/>
      <c r="GR303" s="120"/>
      <c r="GS303" s="120"/>
      <c r="GT303" s="120"/>
      <c r="GU303" s="120"/>
      <c r="GV303" s="120"/>
      <c r="GW303" s="120"/>
      <c r="GX303" s="120"/>
      <c r="GY303" s="120"/>
      <c r="GZ303" s="120"/>
      <c r="HA303" s="120"/>
      <c r="HB303" s="120"/>
      <c r="HC303" s="120"/>
      <c r="HD303" s="120"/>
      <c r="HE303" s="120"/>
      <c r="HF303" s="120"/>
      <c r="HG303" s="120"/>
      <c r="HH303" s="120"/>
      <c r="HI303" s="120"/>
      <c r="HJ303" s="120"/>
      <c r="HK303" s="120"/>
      <c r="HL303" s="120"/>
      <c r="HM303" s="120"/>
      <c r="HN303" s="120"/>
      <c r="HO303" s="120"/>
      <c r="HP303" s="120"/>
      <c r="HQ303" s="120"/>
      <c r="HR303" s="120"/>
      <c r="HS303" s="120"/>
      <c r="HT303" s="120"/>
      <c r="HU303" s="120"/>
      <c r="HV303" s="120"/>
      <c r="HW303" s="120"/>
      <c r="HX303" s="120"/>
      <c r="HY303" s="120"/>
      <c r="HZ303" s="120"/>
      <c r="IA303" s="120"/>
      <c r="IB303" s="120"/>
      <c r="IC303" s="120"/>
      <c r="ID303" s="120"/>
      <c r="IE303" s="120"/>
      <c r="IF303" s="120"/>
      <c r="IG303" s="120"/>
      <c r="IH303" s="120"/>
      <c r="II303" s="120"/>
      <c r="IJ303" s="120"/>
      <c r="IK303" s="120"/>
      <c r="IL303" s="120"/>
      <c r="IM303" s="120"/>
      <c r="IN303" s="120"/>
      <c r="IO303" s="120"/>
      <c r="IP303" s="120"/>
      <c r="IQ303" s="120"/>
      <c r="IR303" s="120"/>
      <c r="IS303" s="120"/>
      <c r="IT303" s="120"/>
      <c r="IU303" s="120"/>
      <c r="IV303" s="120"/>
      <c r="IW303" s="120"/>
      <c r="IX303" s="120"/>
      <c r="IY303" s="120"/>
      <c r="IZ303" s="120"/>
      <c r="JA303" s="120"/>
      <c r="JB303" s="120"/>
      <c r="JC303" s="120"/>
      <c r="JD303" s="120"/>
      <c r="JE303" s="120"/>
      <c r="JF303" s="120"/>
      <c r="JG303" s="120"/>
      <c r="JH303" s="120"/>
      <c r="JI303" s="120"/>
      <c r="JJ303" s="120"/>
      <c r="JK303" s="120"/>
      <c r="JL303" s="120"/>
      <c r="JM303" s="120"/>
      <c r="JN303" s="120"/>
      <c r="JO303" s="120"/>
      <c r="JP303" s="120"/>
      <c r="JQ303" s="120"/>
      <c r="JR303" s="120"/>
      <c r="JS303" s="120"/>
      <c r="JT303" s="120"/>
      <c r="JU303" s="120"/>
      <c r="JV303" s="120"/>
      <c r="JW303" s="120"/>
      <c r="JX303" s="120"/>
      <c r="JY303" s="120"/>
      <c r="JZ303" s="120"/>
      <c r="KA303" s="120"/>
      <c r="KB303" s="120"/>
      <c r="KC303" s="120"/>
      <c r="KD303" s="120"/>
      <c r="KE303" s="120"/>
      <c r="KF303" s="120"/>
      <c r="KG303" s="120"/>
      <c r="KH303" s="120"/>
      <c r="KI303" s="120"/>
      <c r="KJ303" s="120"/>
      <c r="KK303" s="120"/>
      <c r="KL303" s="120"/>
      <c r="KM303" s="120"/>
      <c r="KN303" s="120"/>
      <c r="KO303" s="120"/>
      <c r="KP303" s="120"/>
      <c r="KQ303" s="120"/>
      <c r="KR303" s="120"/>
      <c r="KS303" s="120"/>
      <c r="KT303" s="120"/>
      <c r="KU303" s="120"/>
      <c r="KV303" s="120"/>
      <c r="KW303" s="120"/>
      <c r="KX303" s="120"/>
      <c r="KY303" s="120"/>
      <c r="KZ303" s="120"/>
      <c r="LA303" s="120"/>
      <c r="LB303" s="120"/>
      <c r="LC303" s="120"/>
      <c r="LD303" s="120"/>
      <c r="LE303" s="120"/>
      <c r="LF303" s="120"/>
      <c r="LG303" s="120"/>
      <c r="LH303" s="120"/>
      <c r="LI303" s="120"/>
      <c r="LJ303" s="120"/>
      <c r="LK303" s="120"/>
      <c r="LL303" s="120"/>
      <c r="LM303" s="120"/>
      <c r="LN303" s="120"/>
      <c r="LO303" s="120"/>
      <c r="LP303" s="120"/>
      <c r="LQ303" s="120"/>
      <c r="LR303" s="120"/>
      <c r="LS303" s="120"/>
      <c r="LT303" s="120"/>
      <c r="LU303" s="120"/>
      <c r="LV303" s="120"/>
      <c r="LW303" s="120"/>
      <c r="LX303" s="120"/>
      <c r="LY303" s="120"/>
      <c r="LZ303" s="120"/>
      <c r="MA303" s="120"/>
      <c r="MB303" s="120"/>
      <c r="MC303" s="120"/>
      <c r="MD303" s="120"/>
      <c r="ME303" s="120"/>
      <c r="MF303" s="120"/>
      <c r="MG303" s="120"/>
      <c r="MH303" s="120"/>
      <c r="MI303" s="120"/>
      <c r="MJ303" s="120"/>
      <c r="MK303" s="120"/>
      <c r="ML303" s="120"/>
      <c r="MM303" s="120"/>
      <c r="MN303" s="120"/>
      <c r="MO303" s="120"/>
      <c r="MP303" s="120"/>
      <c r="MQ303" s="120"/>
      <c r="MR303" s="120"/>
      <c r="MS303" s="120"/>
      <c r="MT303" s="120"/>
      <c r="MU303" s="120"/>
      <c r="MV303" s="120"/>
      <c r="MW303" s="120"/>
      <c r="MX303" s="120"/>
      <c r="MY303" s="120"/>
      <c r="MZ303" s="120"/>
      <c r="NA303" s="120"/>
      <c r="NB303" s="120"/>
      <c r="NC303" s="120"/>
      <c r="ND303" s="120"/>
      <c r="NE303" s="120"/>
      <c r="NF303" s="120"/>
      <c r="NG303" s="120"/>
      <c r="NH303" s="120"/>
      <c r="NI303" s="120"/>
      <c r="NJ303" s="120"/>
      <c r="NK303" s="120"/>
      <c r="NL303" s="120"/>
      <c r="NM303" s="120"/>
      <c r="NN303" s="120"/>
      <c r="NO303" s="120"/>
      <c r="NP303" s="120"/>
      <c r="NQ303" s="120"/>
      <c r="NR303" s="120"/>
      <c r="NS303" s="120"/>
      <c r="NT303" s="120"/>
      <c r="NU303" s="120"/>
      <c r="NV303" s="120"/>
      <c r="NW303" s="120"/>
      <c r="NX303" s="120"/>
      <c r="NY303" s="120"/>
      <c r="NZ303" s="120"/>
      <c r="OA303" s="120"/>
      <c r="OB303" s="120"/>
      <c r="OC303" s="120"/>
      <c r="OD303" s="120"/>
      <c r="OE303" s="120"/>
      <c r="OF303" s="120"/>
      <c r="OG303" s="120"/>
      <c r="OH303" s="120"/>
      <c r="OI303" s="120"/>
      <c r="OJ303" s="120"/>
      <c r="OK303" s="120"/>
      <c r="OL303" s="120"/>
      <c r="OM303" s="120"/>
      <c r="ON303" s="120"/>
      <c r="OO303" s="120"/>
      <c r="OP303" s="120"/>
      <c r="OQ303" s="120"/>
      <c r="OR303" s="120"/>
      <c r="OS303" s="120"/>
      <c r="OT303" s="120"/>
      <c r="OU303" s="120"/>
      <c r="OV303" s="120"/>
      <c r="OW303" s="120"/>
      <c r="OX303" s="120"/>
      <c r="OY303" s="120"/>
      <c r="OZ303" s="120"/>
      <c r="PA303" s="120"/>
      <c r="PB303" s="120"/>
      <c r="PC303" s="120"/>
      <c r="PD303" s="120"/>
      <c r="PE303" s="120"/>
      <c r="PF303" s="120"/>
      <c r="PG303" s="120"/>
      <c r="PH303" s="120"/>
      <c r="PI303" s="120"/>
      <c r="PJ303" s="120"/>
      <c r="PK303" s="120"/>
      <c r="PL303" s="120"/>
      <c r="PM303" s="120"/>
      <c r="PN303" s="120"/>
      <c r="PO303" s="120"/>
      <c r="PP303" s="120"/>
      <c r="PQ303" s="120"/>
      <c r="PR303" s="120"/>
      <c r="PS303" s="120"/>
      <c r="PT303" s="120"/>
      <c r="PU303" s="120"/>
      <c r="PV303" s="120"/>
      <c r="PW303" s="120"/>
      <c r="PX303" s="120"/>
      <c r="PY303" s="120"/>
      <c r="PZ303" s="120"/>
      <c r="QA303" s="120"/>
      <c r="QB303" s="120"/>
      <c r="QC303" s="120"/>
      <c r="QD303" s="120"/>
      <c r="QE303" s="120"/>
      <c r="QF303" s="120"/>
      <c r="QG303" s="120"/>
      <c r="QH303" s="120"/>
      <c r="QI303" s="120"/>
      <c r="QJ303" s="120"/>
      <c r="QK303" s="120"/>
      <c r="QL303" s="120"/>
      <c r="QM303" s="120"/>
      <c r="QN303" s="120"/>
      <c r="QO303" s="120"/>
      <c r="QP303" s="120"/>
      <c r="QQ303" s="120"/>
      <c r="QR303" s="120"/>
      <c r="QS303" s="120"/>
      <c r="QT303" s="120"/>
      <c r="QU303" s="120"/>
      <c r="QV303" s="120"/>
      <c r="QW303" s="120"/>
      <c r="QX303" s="120"/>
      <c r="QY303" s="120"/>
      <c r="QZ303" s="120"/>
      <c r="RA303" s="120"/>
      <c r="RB303" s="120"/>
      <c r="RC303" s="120"/>
      <c r="RD303" s="120"/>
      <c r="RE303" s="120"/>
      <c r="RF303" s="120"/>
      <c r="RG303" s="120"/>
      <c r="RH303" s="120"/>
      <c r="RI303" s="120"/>
      <c r="RJ303" s="120"/>
      <c r="RK303" s="120"/>
      <c r="RL303" s="120"/>
      <c r="RM303" s="120"/>
      <c r="RN303" s="120"/>
      <c r="RO303" s="120"/>
      <c r="RP303" s="120"/>
      <c r="RQ303" s="120"/>
      <c r="RR303" s="120"/>
      <c r="RS303" s="120"/>
      <c r="RT303" s="120"/>
      <c r="RU303" s="120"/>
      <c r="RV303" s="120"/>
      <c r="RW303" s="120"/>
      <c r="RX303" s="120"/>
      <c r="RY303" s="120"/>
      <c r="RZ303" s="120"/>
      <c r="SA303" s="120"/>
      <c r="SB303" s="120"/>
      <c r="SC303" s="120"/>
      <c r="SD303" s="120"/>
      <c r="SE303" s="120"/>
      <c r="SF303" s="120"/>
      <c r="SG303" s="120"/>
      <c r="SH303" s="120"/>
      <c r="SI303" s="120"/>
      <c r="SJ303" s="120"/>
      <c r="SK303" s="120"/>
      <c r="SL303" s="120"/>
      <c r="SM303" s="120"/>
      <c r="SN303" s="120"/>
      <c r="SO303" s="120"/>
      <c r="SP303" s="120"/>
      <c r="SQ303" s="120"/>
      <c r="SR303" s="120"/>
      <c r="SS303" s="120"/>
      <c r="ST303" s="120"/>
      <c r="SU303" s="120"/>
      <c r="SV303" s="120"/>
      <c r="SW303" s="120"/>
      <c r="SX303" s="120"/>
      <c r="SY303" s="120"/>
      <c r="SZ303" s="120"/>
      <c r="TA303" s="120"/>
      <c r="TB303" s="120"/>
      <c r="TC303" s="120"/>
      <c r="TD303" s="120"/>
      <c r="TE303" s="120"/>
      <c r="TF303" s="120"/>
      <c r="TG303" s="120"/>
      <c r="TH303" s="120"/>
      <c r="TI303" s="120"/>
      <c r="TJ303" s="120"/>
      <c r="TK303" s="120"/>
      <c r="TL303" s="120"/>
      <c r="TM303" s="120"/>
      <c r="TN303" s="120"/>
      <c r="TO303" s="120"/>
      <c r="TP303" s="120"/>
      <c r="TQ303" s="120"/>
      <c r="TR303" s="120"/>
      <c r="TS303" s="120"/>
      <c r="TT303" s="120"/>
      <c r="TU303" s="120"/>
      <c r="TV303" s="120"/>
      <c r="TW303" s="120"/>
      <c r="TX303" s="120"/>
      <c r="TY303" s="120"/>
      <c r="TZ303" s="120"/>
      <c r="UA303" s="120"/>
      <c r="UB303" s="120"/>
      <c r="UC303" s="120"/>
      <c r="UD303" s="120"/>
      <c r="UE303" s="120"/>
      <c r="UF303" s="120"/>
      <c r="UG303" s="120"/>
      <c r="UH303" s="120"/>
      <c r="UI303" s="120"/>
      <c r="UJ303" s="120"/>
      <c r="UK303" s="120"/>
      <c r="UL303" s="120"/>
      <c r="UM303" s="120"/>
      <c r="UN303" s="120"/>
      <c r="UO303" s="120"/>
      <c r="UP303" s="120"/>
      <c r="UQ303" s="120"/>
      <c r="UR303" s="120"/>
      <c r="US303" s="120"/>
      <c r="UT303" s="120"/>
      <c r="UU303" s="120"/>
      <c r="UV303" s="120"/>
      <c r="UW303" s="120"/>
      <c r="UX303" s="120"/>
      <c r="UY303" s="120"/>
      <c r="UZ303" s="120"/>
      <c r="VA303" s="120"/>
      <c r="VB303" s="120"/>
      <c r="VC303" s="120"/>
      <c r="VD303" s="120"/>
      <c r="VE303" s="120"/>
      <c r="VF303" s="120"/>
      <c r="VG303" s="120"/>
      <c r="VH303" s="120"/>
      <c r="VI303" s="120"/>
      <c r="VJ303" s="120"/>
      <c r="VK303" s="120"/>
      <c r="VL303" s="120"/>
      <c r="VM303" s="120"/>
      <c r="VN303" s="120"/>
      <c r="VO303" s="120"/>
      <c r="VP303" s="120"/>
      <c r="VQ303" s="120"/>
      <c r="VR303" s="120"/>
      <c r="VS303" s="120"/>
      <c r="VT303" s="120"/>
      <c r="VU303" s="120"/>
      <c r="VV303" s="120"/>
      <c r="VW303" s="120"/>
      <c r="VX303" s="120"/>
      <c r="VY303" s="120"/>
      <c r="VZ303" s="120"/>
      <c r="WA303" s="120"/>
      <c r="WB303" s="120"/>
      <c r="WC303" s="120"/>
      <c r="WD303" s="120"/>
      <c r="WE303" s="120"/>
      <c r="WF303" s="120"/>
      <c r="WG303" s="120"/>
      <c r="WH303" s="120"/>
      <c r="WI303" s="120"/>
      <c r="WJ303" s="120"/>
      <c r="WK303" s="120"/>
      <c r="WL303" s="120"/>
      <c r="WM303" s="120"/>
      <c r="WN303" s="120"/>
      <c r="WO303" s="120"/>
      <c r="WP303" s="120"/>
      <c r="WQ303" s="120"/>
      <c r="WR303" s="120"/>
      <c r="WS303" s="120"/>
      <c r="WT303" s="120"/>
      <c r="WU303" s="120"/>
      <c r="WV303" s="120"/>
      <c r="WW303" s="120"/>
      <c r="WX303" s="120"/>
      <c r="WY303" s="120"/>
      <c r="WZ303" s="120"/>
      <c r="XA303" s="120"/>
      <c r="XB303" s="120"/>
      <c r="XC303" s="120"/>
      <c r="XD303" s="120"/>
      <c r="XE303" s="120"/>
      <c r="XF303" s="120"/>
      <c r="XG303" s="120"/>
      <c r="XH303" s="120"/>
      <c r="XI303" s="120"/>
      <c r="XJ303" s="120"/>
      <c r="XK303" s="120"/>
      <c r="XL303" s="120"/>
      <c r="XM303" s="120"/>
      <c r="XN303" s="120"/>
      <c r="XO303" s="120"/>
      <c r="XP303" s="120"/>
      <c r="XQ303" s="120"/>
      <c r="XR303" s="120"/>
      <c r="XS303" s="120"/>
      <c r="XT303" s="120"/>
      <c r="XU303" s="120"/>
      <c r="XV303" s="120"/>
      <c r="XW303" s="120"/>
      <c r="XX303" s="120"/>
      <c r="XY303" s="120"/>
      <c r="XZ303" s="120"/>
      <c r="YA303" s="120"/>
      <c r="YB303" s="120"/>
      <c r="YC303" s="120"/>
      <c r="YD303" s="120"/>
      <c r="YE303" s="120"/>
      <c r="YF303" s="120"/>
      <c r="YG303" s="120"/>
      <c r="YH303" s="120"/>
      <c r="YI303" s="120"/>
      <c r="YJ303" s="120"/>
      <c r="YK303" s="120"/>
      <c r="YL303" s="120"/>
      <c r="YM303" s="120"/>
      <c r="YN303" s="120"/>
      <c r="YO303" s="120"/>
      <c r="YP303" s="120"/>
      <c r="YQ303" s="120"/>
      <c r="YR303" s="120"/>
      <c r="YS303" s="120"/>
      <c r="YT303" s="120"/>
      <c r="YU303" s="120"/>
      <c r="YV303" s="120"/>
      <c r="YW303" s="120"/>
      <c r="YX303" s="120"/>
      <c r="YY303" s="120"/>
      <c r="YZ303" s="120"/>
      <c r="ZA303" s="120"/>
      <c r="ZB303" s="120"/>
      <c r="ZC303" s="120"/>
      <c r="ZD303" s="120"/>
      <c r="ZE303" s="120"/>
      <c r="ZF303" s="120"/>
      <c r="ZG303" s="120"/>
      <c r="ZH303" s="120"/>
      <c r="ZI303" s="120"/>
      <c r="ZJ303" s="120"/>
      <c r="ZK303" s="120"/>
      <c r="ZL303" s="120"/>
      <c r="ZM303" s="120"/>
      <c r="ZN303" s="120"/>
      <c r="ZO303" s="120"/>
      <c r="ZP303" s="120"/>
      <c r="ZQ303" s="120"/>
      <c r="ZR303" s="120"/>
      <c r="ZS303" s="120"/>
      <c r="ZT303" s="120"/>
      <c r="ZU303" s="120"/>
      <c r="ZV303" s="120"/>
      <c r="ZW303" s="120"/>
      <c r="ZX303" s="120"/>
      <c r="ZY303" s="120"/>
      <c r="ZZ303" s="120"/>
      <c r="AAA303" s="120"/>
      <c r="AAB303" s="120"/>
      <c r="AAC303" s="120"/>
      <c r="AAD303" s="120"/>
      <c r="AAE303" s="120"/>
      <c r="AAF303" s="120"/>
      <c r="AAG303" s="120"/>
      <c r="AAH303" s="120"/>
      <c r="AAI303" s="120"/>
      <c r="AAJ303" s="120"/>
      <c r="AAK303" s="120"/>
      <c r="AAL303" s="120"/>
      <c r="AAM303" s="120"/>
      <c r="AAN303" s="120"/>
      <c r="AAO303" s="120"/>
      <c r="AAP303" s="120"/>
      <c r="AAQ303" s="120"/>
      <c r="AAR303" s="120"/>
      <c r="AAS303" s="120"/>
      <c r="AAT303" s="120"/>
      <c r="AAU303" s="120"/>
      <c r="AAV303" s="120"/>
      <c r="AAW303" s="120"/>
      <c r="AAX303" s="120"/>
      <c r="AAY303" s="120"/>
      <c r="AAZ303" s="120"/>
      <c r="ABA303" s="120"/>
      <c r="ABB303" s="120"/>
      <c r="ABC303" s="120"/>
      <c r="ABD303" s="120"/>
      <c r="ABE303" s="120"/>
      <c r="ABF303" s="120"/>
      <c r="ABG303" s="120"/>
      <c r="ABH303" s="120"/>
      <c r="ABI303" s="120"/>
      <c r="ABJ303" s="120"/>
      <c r="ABK303" s="120"/>
      <c r="ABL303" s="120"/>
      <c r="ABM303" s="120"/>
      <c r="ABN303" s="120"/>
      <c r="ABO303" s="120"/>
      <c r="ABP303" s="120"/>
      <c r="ABQ303" s="120"/>
      <c r="ABR303" s="120"/>
      <c r="ABS303" s="120"/>
      <c r="ABT303" s="120"/>
      <c r="ABU303" s="120"/>
      <c r="ABV303" s="120"/>
      <c r="ABW303" s="120"/>
      <c r="ABX303" s="120"/>
      <c r="ABY303" s="120"/>
      <c r="ABZ303" s="120"/>
      <c r="ACA303" s="120"/>
      <c r="ACB303" s="120"/>
      <c r="ACC303" s="120"/>
      <c r="ACD303" s="120"/>
      <c r="ACE303" s="120"/>
      <c r="ACF303" s="120"/>
      <c r="ACG303" s="120"/>
      <c r="ACH303" s="120"/>
      <c r="ACI303" s="120"/>
      <c r="ACJ303" s="120"/>
      <c r="ACK303" s="120"/>
      <c r="ACL303" s="120"/>
      <c r="ACM303" s="120"/>
      <c r="ACN303" s="120"/>
      <c r="ACO303" s="120"/>
      <c r="ACP303" s="120"/>
      <c r="ACQ303" s="120"/>
      <c r="ACR303" s="120"/>
      <c r="ACS303" s="120"/>
      <c r="ACT303" s="120"/>
      <c r="ACU303" s="120"/>
      <c r="ACV303" s="120"/>
      <c r="ACW303" s="120"/>
      <c r="ACX303" s="120"/>
      <c r="ACY303" s="120"/>
      <c r="ACZ303" s="120"/>
      <c r="ADA303" s="120"/>
      <c r="ADB303" s="120"/>
      <c r="ADC303" s="120"/>
      <c r="ADD303" s="120"/>
      <c r="ADE303" s="120"/>
      <c r="ADF303" s="120"/>
      <c r="ADG303" s="120"/>
      <c r="ADH303" s="120"/>
      <c r="ADI303" s="120"/>
      <c r="ADJ303" s="120"/>
      <c r="ADK303" s="120"/>
      <c r="ADL303" s="120"/>
      <c r="ADM303" s="120"/>
      <c r="ADN303" s="120"/>
      <c r="ADO303" s="120"/>
      <c r="ADP303" s="120"/>
      <c r="ADQ303" s="120"/>
      <c r="ADR303" s="120"/>
      <c r="ADS303" s="120"/>
      <c r="ADT303" s="120"/>
      <c r="ADU303" s="120"/>
      <c r="ADV303" s="120"/>
      <c r="ADW303" s="120"/>
      <c r="ADX303" s="120"/>
      <c r="ADY303" s="120"/>
      <c r="ADZ303" s="120"/>
      <c r="AEA303" s="120"/>
      <c r="AEB303" s="120"/>
      <c r="AEC303" s="120"/>
      <c r="AED303" s="120"/>
      <c r="AEE303" s="120"/>
      <c r="AEF303" s="120"/>
      <c r="AEG303" s="120"/>
      <c r="AEH303" s="120"/>
      <c r="AEI303" s="120"/>
      <c r="AEJ303" s="120"/>
      <c r="AEK303" s="120"/>
      <c r="AEL303" s="120"/>
      <c r="AEM303" s="120"/>
      <c r="AEN303" s="120"/>
      <c r="AEO303" s="120"/>
      <c r="AEP303" s="120"/>
      <c r="AEQ303" s="120"/>
      <c r="AER303" s="120"/>
      <c r="AES303" s="120"/>
      <c r="AET303" s="120"/>
      <c r="AEU303" s="120"/>
      <c r="AEV303" s="120"/>
      <c r="AEW303" s="120"/>
      <c r="AEX303" s="120"/>
      <c r="AEY303" s="120"/>
      <c r="AEZ303" s="120"/>
      <c r="AFA303" s="120"/>
      <c r="AFB303" s="120"/>
      <c r="AFC303" s="120"/>
      <c r="AFD303" s="120"/>
      <c r="AFE303" s="120"/>
      <c r="AFF303" s="120"/>
      <c r="AFG303" s="120"/>
      <c r="AFH303" s="120"/>
      <c r="AFI303" s="120"/>
      <c r="AFJ303" s="120"/>
      <c r="AFK303" s="120"/>
      <c r="AFL303" s="120"/>
      <c r="AFM303" s="120"/>
      <c r="AFN303" s="120"/>
      <c r="AFO303" s="120"/>
      <c r="AFP303" s="120"/>
      <c r="AFQ303" s="120"/>
      <c r="AFR303" s="120"/>
      <c r="AFS303" s="120"/>
      <c r="AFT303" s="120"/>
      <c r="AFU303" s="120"/>
      <c r="AFV303" s="120"/>
      <c r="AFW303" s="120"/>
      <c r="AFX303" s="120"/>
      <c r="AFY303" s="120"/>
      <c r="AFZ303" s="120"/>
      <c r="AGA303" s="120"/>
      <c r="AGB303" s="120"/>
      <c r="AGC303" s="120"/>
      <c r="AGD303" s="120"/>
      <c r="AGE303" s="120"/>
      <c r="AGF303" s="120"/>
      <c r="AGG303" s="120"/>
      <c r="AGH303" s="120"/>
      <c r="AGI303" s="120"/>
      <c r="AGJ303" s="120"/>
      <c r="AGK303" s="120"/>
      <c r="AGL303" s="120"/>
      <c r="AGM303" s="120"/>
      <c r="AGN303" s="120"/>
      <c r="AGO303" s="120"/>
      <c r="AGP303" s="120"/>
      <c r="AGQ303" s="120"/>
      <c r="AGR303" s="120"/>
      <c r="AGS303" s="120"/>
      <c r="AGT303" s="120"/>
      <c r="AGU303" s="120"/>
      <c r="AGV303" s="120"/>
      <c r="AGW303" s="120"/>
      <c r="AGX303" s="120"/>
      <c r="AGY303" s="120"/>
      <c r="AGZ303" s="120"/>
      <c r="AHA303" s="120"/>
      <c r="AHB303" s="120"/>
      <c r="AHC303" s="120"/>
      <c r="AHD303" s="120"/>
      <c r="AHE303" s="120"/>
      <c r="AHF303" s="120"/>
      <c r="AHG303" s="120"/>
      <c r="AHH303" s="120"/>
      <c r="AHI303" s="120"/>
      <c r="AHJ303" s="120"/>
      <c r="AHK303" s="120"/>
      <c r="AHL303" s="120"/>
      <c r="AHM303" s="120"/>
      <c r="AHN303" s="120"/>
      <c r="AHO303" s="120"/>
      <c r="AHP303" s="120"/>
      <c r="AHQ303" s="120"/>
      <c r="AHR303" s="120"/>
      <c r="AHS303" s="120"/>
      <c r="AHT303" s="120"/>
      <c r="AHU303" s="120"/>
      <c r="AHV303" s="120"/>
      <c r="AHW303" s="120"/>
      <c r="AHX303" s="120"/>
      <c r="AHY303" s="120"/>
      <c r="AHZ303" s="120"/>
      <c r="AIA303" s="120"/>
      <c r="AIB303" s="120"/>
      <c r="AIC303" s="120"/>
      <c r="AID303" s="120"/>
      <c r="AIE303" s="120"/>
      <c r="AIF303" s="120"/>
      <c r="AIG303" s="120"/>
      <c r="AIH303" s="120"/>
      <c r="AII303" s="120"/>
      <c r="AIJ303" s="120"/>
      <c r="AIK303" s="120"/>
      <c r="AIL303" s="120"/>
      <c r="AIM303" s="120"/>
      <c r="AIN303" s="120"/>
      <c r="AIO303" s="120"/>
      <c r="AIP303" s="120"/>
      <c r="AIQ303" s="120"/>
      <c r="AIR303" s="120"/>
      <c r="AIS303" s="120"/>
      <c r="AIT303" s="120"/>
      <c r="AIU303" s="120"/>
      <c r="AIV303" s="120"/>
      <c r="AIW303" s="120"/>
      <c r="AIX303" s="120"/>
      <c r="AIY303" s="120"/>
      <c r="AIZ303" s="120"/>
      <c r="AJA303" s="120"/>
      <c r="AJB303" s="120"/>
      <c r="AJC303" s="120"/>
      <c r="AJD303" s="120"/>
      <c r="AJE303" s="120"/>
      <c r="AJF303" s="120"/>
      <c r="AJG303" s="120"/>
      <c r="AJH303" s="120"/>
      <c r="AJI303" s="120"/>
      <c r="AJJ303" s="120"/>
      <c r="AJK303" s="120"/>
      <c r="AJL303" s="120"/>
      <c r="AJM303" s="120"/>
      <c r="AJN303" s="120"/>
      <c r="AJO303" s="120"/>
      <c r="AJP303" s="120"/>
      <c r="AJQ303" s="120"/>
      <c r="AJR303" s="120"/>
      <c r="AJS303" s="120"/>
      <c r="AJT303" s="120"/>
      <c r="AJU303" s="120"/>
      <c r="AJV303" s="120"/>
      <c r="AJW303" s="120"/>
      <c r="AJX303" s="120"/>
      <c r="AJY303" s="120"/>
      <c r="AJZ303" s="120"/>
      <c r="AKA303" s="120"/>
      <c r="AKB303" s="120"/>
      <c r="AKC303" s="120"/>
      <c r="AKD303" s="120"/>
      <c r="AKE303" s="120"/>
      <c r="AKF303" s="120"/>
      <c r="AKG303" s="120"/>
      <c r="AKH303" s="120"/>
      <c r="AKI303" s="120"/>
      <c r="AKJ303" s="120"/>
      <c r="AKK303" s="120"/>
      <c r="AKL303" s="120"/>
      <c r="AKM303" s="120"/>
      <c r="AKN303" s="120"/>
      <c r="AKO303" s="120"/>
      <c r="AKP303" s="120"/>
      <c r="AKQ303" s="120"/>
      <c r="AKR303" s="120"/>
      <c r="AKS303" s="120"/>
      <c r="AKT303" s="120"/>
      <c r="AKU303" s="120"/>
      <c r="AKV303" s="120"/>
      <c r="AKW303" s="120"/>
      <c r="AKX303" s="120"/>
      <c r="AKY303" s="120"/>
      <c r="AKZ303" s="120"/>
      <c r="ALA303" s="120"/>
      <c r="ALB303" s="120"/>
      <c r="ALC303" s="120"/>
      <c r="ALD303" s="120"/>
      <c r="ALE303" s="120"/>
      <c r="ALF303" s="120"/>
      <c r="ALG303" s="120"/>
      <c r="ALH303" s="120"/>
      <c r="ALI303" s="120"/>
      <c r="ALJ303" s="120"/>
      <c r="ALK303" s="120"/>
      <c r="ALL303" s="120"/>
      <c r="ALM303" s="120"/>
      <c r="ALN303" s="120"/>
      <c r="ALO303" s="120"/>
      <c r="ALP303" s="120"/>
      <c r="ALQ303" s="120"/>
      <c r="ALR303" s="120"/>
      <c r="ALS303" s="120"/>
      <c r="ALT303" s="120"/>
      <c r="ALU303" s="120"/>
      <c r="ALV303" s="120"/>
      <c r="ALW303" s="120"/>
      <c r="ALX303" s="120"/>
      <c r="ALY303" s="120"/>
      <c r="ALZ303" s="120"/>
      <c r="AMA303" s="120"/>
      <c r="AMB303" s="120"/>
      <c r="AMC303" s="120"/>
      <c r="AMD303" s="120"/>
      <c r="AME303" s="120"/>
      <c r="AMF303" s="120"/>
      <c r="AMG303" s="120"/>
      <c r="AMH303" s="120"/>
    </row>
    <row r="304" spans="1:1022" s="84" customFormat="1" ht="14.25" x14ac:dyDescent="0.25">
      <c r="A304" s="86"/>
      <c r="B304" s="86"/>
      <c r="C304" s="139"/>
      <c r="D304" s="139"/>
      <c r="E304" s="140"/>
      <c r="F304" s="140"/>
      <c r="G304" s="176"/>
      <c r="H304" s="177"/>
      <c r="I304" s="140"/>
      <c r="J304" s="162"/>
      <c r="K304" s="153"/>
      <c r="L304" s="140"/>
      <c r="M304" s="83"/>
      <c r="Q304" s="85"/>
    </row>
    <row r="305" spans="1:1026" s="84" customFormat="1" ht="12.75" x14ac:dyDescent="0.2">
      <c r="A305" s="87"/>
      <c r="B305" s="229"/>
      <c r="C305" s="229"/>
      <c r="D305" s="229"/>
      <c r="E305" s="229"/>
      <c r="F305" s="229"/>
      <c r="G305" s="229"/>
      <c r="H305" s="167"/>
      <c r="I305" s="164"/>
      <c r="J305" s="178"/>
      <c r="K305" s="179"/>
      <c r="L305" s="123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  <c r="AA305" s="88"/>
      <c r="AB305" s="88"/>
      <c r="AC305" s="88"/>
      <c r="AD305" s="88"/>
      <c r="AE305" s="88"/>
      <c r="AF305" s="88"/>
      <c r="AG305" s="88"/>
      <c r="AH305" s="88"/>
      <c r="AI305" s="88"/>
      <c r="AJ305" s="88"/>
      <c r="AK305" s="88"/>
      <c r="AL305" s="88"/>
      <c r="AM305" s="88"/>
      <c r="AN305" s="88"/>
      <c r="AO305" s="88"/>
      <c r="AP305" s="88"/>
      <c r="AQ305" s="88"/>
      <c r="AR305" s="88"/>
      <c r="AS305" s="88"/>
      <c r="AT305" s="88"/>
      <c r="AU305" s="88"/>
      <c r="AV305" s="88"/>
      <c r="AW305" s="88"/>
      <c r="AX305" s="88"/>
      <c r="AY305" s="88"/>
      <c r="AZ305" s="88"/>
      <c r="BA305" s="88"/>
      <c r="BB305" s="88"/>
      <c r="BC305" s="88"/>
      <c r="BD305" s="88"/>
      <c r="BE305" s="88"/>
      <c r="BF305" s="88"/>
      <c r="BG305" s="88"/>
      <c r="BH305" s="88"/>
      <c r="BI305" s="88"/>
      <c r="BJ305" s="88"/>
      <c r="BK305" s="88"/>
      <c r="BL305" s="88"/>
      <c r="BM305" s="88"/>
      <c r="BN305" s="88"/>
      <c r="BO305" s="88"/>
      <c r="BP305" s="88"/>
      <c r="BQ305" s="88"/>
      <c r="BR305" s="88"/>
      <c r="BS305" s="88"/>
      <c r="BT305" s="88"/>
      <c r="BU305" s="88"/>
      <c r="BV305" s="88"/>
      <c r="BW305" s="88"/>
      <c r="BX305" s="88"/>
      <c r="BY305" s="88"/>
      <c r="BZ305" s="88"/>
      <c r="CA305" s="88"/>
      <c r="CB305" s="88"/>
      <c r="CC305" s="88"/>
      <c r="CD305" s="88"/>
      <c r="CE305" s="88"/>
      <c r="CF305" s="88"/>
      <c r="CG305" s="88"/>
      <c r="CH305" s="88"/>
      <c r="CI305" s="88"/>
      <c r="CJ305" s="88"/>
      <c r="CK305" s="88"/>
      <c r="CL305" s="88"/>
      <c r="CM305" s="88"/>
      <c r="CN305" s="88"/>
      <c r="CO305" s="88"/>
      <c r="CP305" s="88"/>
      <c r="CQ305" s="88"/>
      <c r="CR305" s="88"/>
      <c r="CS305" s="88"/>
      <c r="CT305" s="88"/>
      <c r="CU305" s="88"/>
      <c r="CV305" s="88"/>
      <c r="CW305" s="88"/>
      <c r="CX305" s="88"/>
      <c r="CY305" s="88"/>
      <c r="CZ305" s="88"/>
      <c r="DA305" s="88"/>
      <c r="DB305" s="88"/>
      <c r="DC305" s="88"/>
      <c r="DD305" s="88"/>
      <c r="DE305" s="88"/>
      <c r="DF305" s="88"/>
      <c r="DG305" s="88"/>
      <c r="DH305" s="88"/>
      <c r="DI305" s="88"/>
      <c r="DJ305" s="88"/>
      <c r="DK305" s="88"/>
      <c r="DL305" s="88"/>
      <c r="DM305" s="88"/>
      <c r="DN305" s="88"/>
      <c r="DO305" s="88"/>
      <c r="DP305" s="88"/>
      <c r="DQ305" s="88"/>
      <c r="DR305" s="88"/>
      <c r="DS305" s="88"/>
      <c r="DT305" s="88"/>
      <c r="DU305" s="88"/>
      <c r="DV305" s="88"/>
      <c r="DW305" s="88"/>
      <c r="DX305" s="88"/>
      <c r="DY305" s="88"/>
      <c r="DZ305" s="88"/>
      <c r="EA305" s="88"/>
      <c r="EB305" s="88"/>
      <c r="EC305" s="88"/>
      <c r="ED305" s="88"/>
      <c r="EE305" s="88"/>
      <c r="EF305" s="88"/>
      <c r="EG305" s="88"/>
      <c r="EH305" s="88"/>
      <c r="EI305" s="88"/>
      <c r="EJ305" s="88"/>
      <c r="EK305" s="88"/>
      <c r="EL305" s="88"/>
      <c r="EM305" s="88"/>
      <c r="EN305" s="88"/>
      <c r="EO305" s="88"/>
      <c r="EP305" s="88"/>
      <c r="EQ305" s="88"/>
      <c r="ER305" s="88"/>
      <c r="ES305" s="88"/>
      <c r="ET305" s="88"/>
      <c r="EU305" s="88"/>
      <c r="EV305" s="88"/>
      <c r="EW305" s="88"/>
      <c r="EX305" s="88"/>
      <c r="EY305" s="88"/>
      <c r="EZ305" s="88"/>
      <c r="FA305" s="88"/>
      <c r="FB305" s="88"/>
      <c r="FC305" s="88"/>
      <c r="FD305" s="88"/>
      <c r="FE305" s="88"/>
      <c r="FF305" s="88"/>
      <c r="FG305" s="88"/>
      <c r="FH305" s="88"/>
      <c r="FI305" s="88"/>
      <c r="FJ305" s="88"/>
      <c r="FK305" s="88"/>
      <c r="FL305" s="88"/>
      <c r="FM305" s="88"/>
      <c r="FN305" s="88"/>
      <c r="FO305" s="88"/>
      <c r="FP305" s="88"/>
      <c r="FQ305" s="88"/>
      <c r="FR305" s="88"/>
      <c r="FS305" s="88"/>
      <c r="FT305" s="88"/>
      <c r="FU305" s="88"/>
      <c r="FV305" s="88"/>
      <c r="FW305" s="88"/>
      <c r="FX305" s="88"/>
      <c r="FY305" s="88"/>
      <c r="FZ305" s="88"/>
      <c r="GA305" s="88"/>
      <c r="GB305" s="88"/>
      <c r="GC305" s="88"/>
      <c r="GD305" s="88"/>
      <c r="GE305" s="88"/>
      <c r="GF305" s="88"/>
      <c r="GG305" s="88"/>
      <c r="GH305" s="88"/>
      <c r="GI305" s="88"/>
      <c r="GJ305" s="88"/>
      <c r="GK305" s="88"/>
      <c r="GL305" s="88"/>
      <c r="GM305" s="88"/>
      <c r="GN305" s="88"/>
      <c r="GO305" s="88"/>
      <c r="GP305" s="88"/>
      <c r="GQ305" s="88"/>
      <c r="GR305" s="88"/>
      <c r="GS305" s="88"/>
      <c r="GT305" s="88"/>
      <c r="GU305" s="88"/>
      <c r="GV305" s="88"/>
      <c r="GW305" s="88"/>
      <c r="GX305" s="88"/>
      <c r="GY305" s="88"/>
      <c r="GZ305" s="88"/>
      <c r="HA305" s="88"/>
      <c r="HB305" s="88"/>
      <c r="HC305" s="88"/>
      <c r="HD305" s="88"/>
      <c r="HE305" s="88"/>
      <c r="HF305" s="88"/>
      <c r="HG305" s="88"/>
      <c r="HH305" s="88"/>
      <c r="HI305" s="88"/>
      <c r="HJ305" s="88"/>
      <c r="HK305" s="88"/>
      <c r="HL305" s="88"/>
      <c r="HM305" s="88"/>
      <c r="HN305" s="88"/>
      <c r="HO305" s="88"/>
      <c r="HP305" s="88"/>
      <c r="HQ305" s="88"/>
      <c r="HR305" s="88"/>
      <c r="HS305" s="88"/>
      <c r="HT305" s="88"/>
      <c r="HU305" s="88"/>
      <c r="HV305" s="88"/>
      <c r="HW305" s="88"/>
      <c r="HX305" s="88"/>
      <c r="HY305" s="88"/>
      <c r="HZ305" s="88"/>
      <c r="IA305" s="88"/>
      <c r="IB305" s="88"/>
      <c r="IC305" s="88"/>
      <c r="ID305" s="88"/>
      <c r="IE305" s="88"/>
      <c r="IF305" s="88"/>
      <c r="IG305" s="88"/>
      <c r="IH305" s="88"/>
      <c r="II305" s="88"/>
      <c r="IJ305" s="88"/>
      <c r="IK305" s="88"/>
      <c r="IL305" s="88"/>
      <c r="IM305" s="88"/>
      <c r="IN305" s="88"/>
      <c r="IO305" s="88"/>
      <c r="IP305" s="88"/>
      <c r="IQ305" s="88"/>
      <c r="IR305" s="88"/>
      <c r="IS305" s="88"/>
      <c r="IT305" s="88"/>
      <c r="IU305" s="88"/>
      <c r="IV305" s="88"/>
      <c r="IW305" s="88"/>
      <c r="IX305" s="88"/>
      <c r="IY305" s="88"/>
      <c r="IZ305" s="88"/>
      <c r="JA305" s="88"/>
      <c r="JB305" s="88"/>
      <c r="JC305" s="88"/>
      <c r="JD305" s="88"/>
      <c r="JE305" s="88"/>
      <c r="JF305" s="88"/>
      <c r="JG305" s="88"/>
      <c r="JH305" s="88"/>
      <c r="JI305" s="88"/>
      <c r="JJ305" s="88"/>
      <c r="JK305" s="88"/>
      <c r="JL305" s="88"/>
      <c r="JM305" s="88"/>
      <c r="JN305" s="88"/>
      <c r="JO305" s="88"/>
      <c r="JP305" s="88"/>
      <c r="JQ305" s="88"/>
      <c r="JR305" s="88"/>
      <c r="JS305" s="88"/>
      <c r="JT305" s="88"/>
      <c r="JU305" s="88"/>
      <c r="JV305" s="88"/>
      <c r="JW305" s="88"/>
      <c r="JX305" s="88"/>
      <c r="JY305" s="88"/>
      <c r="JZ305" s="88"/>
      <c r="KA305" s="88"/>
      <c r="KB305" s="88"/>
      <c r="KC305" s="88"/>
      <c r="KD305" s="88"/>
      <c r="KE305" s="88"/>
      <c r="KF305" s="88"/>
      <c r="KG305" s="88"/>
      <c r="KH305" s="88"/>
      <c r="KI305" s="88"/>
      <c r="KJ305" s="88"/>
      <c r="KK305" s="88"/>
      <c r="KL305" s="88"/>
      <c r="KM305" s="88"/>
      <c r="KN305" s="88"/>
      <c r="KO305" s="88"/>
      <c r="KP305" s="88"/>
      <c r="KQ305" s="88"/>
      <c r="KR305" s="88"/>
      <c r="KS305" s="88"/>
      <c r="KT305" s="88"/>
      <c r="KU305" s="88"/>
      <c r="KV305" s="88"/>
      <c r="KW305" s="88"/>
      <c r="KX305" s="88"/>
      <c r="KY305" s="88"/>
      <c r="KZ305" s="88"/>
      <c r="LA305" s="88"/>
      <c r="LB305" s="88"/>
      <c r="LC305" s="88"/>
      <c r="LD305" s="88"/>
      <c r="LE305" s="88"/>
      <c r="LF305" s="88"/>
      <c r="LG305" s="88"/>
      <c r="LH305" s="88"/>
      <c r="LI305" s="88"/>
      <c r="LJ305" s="88"/>
      <c r="LK305" s="88"/>
      <c r="LL305" s="88"/>
      <c r="LM305" s="88"/>
      <c r="LN305" s="88"/>
      <c r="LO305" s="88"/>
      <c r="LP305" s="88"/>
      <c r="LQ305" s="88"/>
      <c r="LR305" s="88"/>
      <c r="LS305" s="88"/>
      <c r="LT305" s="88"/>
      <c r="LU305" s="88"/>
      <c r="LV305" s="88"/>
      <c r="LW305" s="88"/>
      <c r="LX305" s="88"/>
      <c r="LY305" s="88"/>
      <c r="LZ305" s="88"/>
      <c r="MA305" s="88"/>
      <c r="MB305" s="88"/>
      <c r="MC305" s="88"/>
      <c r="MD305" s="88"/>
      <c r="ME305" s="88"/>
      <c r="MF305" s="88"/>
      <c r="MG305" s="88"/>
      <c r="MH305" s="88"/>
      <c r="MI305" s="88"/>
      <c r="MJ305" s="88"/>
      <c r="MK305" s="88"/>
      <c r="ML305" s="88"/>
      <c r="MM305" s="88"/>
      <c r="MN305" s="88"/>
      <c r="MO305" s="88"/>
      <c r="MP305" s="88"/>
      <c r="MQ305" s="88"/>
      <c r="MR305" s="88"/>
      <c r="MS305" s="88"/>
      <c r="MT305" s="88"/>
      <c r="MU305" s="88"/>
      <c r="MV305" s="88"/>
      <c r="MW305" s="88"/>
      <c r="MX305" s="88"/>
      <c r="MY305" s="88"/>
      <c r="MZ305" s="88"/>
      <c r="NA305" s="88"/>
      <c r="NB305" s="88"/>
      <c r="NC305" s="88"/>
      <c r="ND305" s="88"/>
      <c r="NE305" s="88"/>
      <c r="NF305" s="88"/>
      <c r="NG305" s="88"/>
      <c r="NH305" s="88"/>
      <c r="NI305" s="88"/>
      <c r="NJ305" s="88"/>
      <c r="NK305" s="88"/>
      <c r="NL305" s="88"/>
      <c r="NM305" s="88"/>
      <c r="NN305" s="88"/>
      <c r="NO305" s="88"/>
      <c r="NP305" s="88"/>
      <c r="NQ305" s="88"/>
      <c r="NR305" s="88"/>
      <c r="NS305" s="88"/>
      <c r="NT305" s="88"/>
      <c r="NU305" s="88"/>
      <c r="NV305" s="88"/>
      <c r="NW305" s="88"/>
      <c r="NX305" s="88"/>
      <c r="NY305" s="88"/>
      <c r="NZ305" s="88"/>
      <c r="OA305" s="88"/>
      <c r="OB305" s="88"/>
      <c r="OC305" s="88"/>
      <c r="OD305" s="88"/>
      <c r="OE305" s="88"/>
      <c r="OF305" s="88"/>
      <c r="OG305" s="88"/>
      <c r="OH305" s="88"/>
      <c r="OI305" s="88"/>
      <c r="OJ305" s="88"/>
      <c r="OK305" s="88"/>
      <c r="OL305" s="88"/>
      <c r="OM305" s="88"/>
      <c r="ON305" s="88"/>
      <c r="OO305" s="88"/>
      <c r="OP305" s="88"/>
      <c r="OQ305" s="88"/>
      <c r="OR305" s="88"/>
      <c r="OS305" s="88"/>
      <c r="OT305" s="88"/>
      <c r="OU305" s="88"/>
      <c r="OV305" s="88"/>
      <c r="OW305" s="88"/>
      <c r="OX305" s="88"/>
      <c r="OY305" s="88"/>
      <c r="OZ305" s="88"/>
      <c r="PA305" s="88"/>
      <c r="PB305" s="88"/>
      <c r="PC305" s="88"/>
      <c r="PD305" s="88"/>
      <c r="PE305" s="88"/>
      <c r="PF305" s="88"/>
      <c r="PG305" s="88"/>
      <c r="PH305" s="88"/>
      <c r="PI305" s="88"/>
      <c r="PJ305" s="88"/>
      <c r="PK305" s="88"/>
      <c r="PL305" s="88"/>
      <c r="PM305" s="88"/>
      <c r="PN305" s="88"/>
      <c r="PO305" s="88"/>
      <c r="PP305" s="88"/>
      <c r="PQ305" s="88"/>
      <c r="PR305" s="88"/>
      <c r="PS305" s="88"/>
      <c r="PT305" s="88"/>
      <c r="PU305" s="88"/>
      <c r="PV305" s="88"/>
      <c r="PW305" s="88"/>
      <c r="PX305" s="88"/>
      <c r="PY305" s="88"/>
      <c r="PZ305" s="88"/>
      <c r="QA305" s="88"/>
      <c r="QB305" s="88"/>
      <c r="QC305" s="88"/>
      <c r="QD305" s="88"/>
      <c r="QE305" s="88"/>
      <c r="QF305" s="88"/>
      <c r="QG305" s="88"/>
      <c r="QH305" s="88"/>
      <c r="QI305" s="88"/>
      <c r="QJ305" s="88"/>
      <c r="QK305" s="88"/>
      <c r="QL305" s="88"/>
      <c r="QM305" s="88"/>
      <c r="QN305" s="88"/>
      <c r="QO305" s="88"/>
      <c r="QP305" s="88"/>
      <c r="QQ305" s="88"/>
      <c r="QR305" s="88"/>
      <c r="QS305" s="88"/>
      <c r="QT305" s="88"/>
      <c r="QU305" s="88"/>
      <c r="QV305" s="88"/>
      <c r="QW305" s="88"/>
      <c r="QX305" s="88"/>
      <c r="QY305" s="88"/>
      <c r="QZ305" s="88"/>
      <c r="RA305" s="88"/>
      <c r="RB305" s="88"/>
      <c r="RC305" s="88"/>
      <c r="RD305" s="88"/>
      <c r="RE305" s="88"/>
      <c r="RF305" s="88"/>
      <c r="RG305" s="88"/>
      <c r="RH305" s="88"/>
      <c r="RI305" s="88"/>
      <c r="RJ305" s="88"/>
      <c r="RK305" s="88"/>
      <c r="RL305" s="88"/>
      <c r="RM305" s="88"/>
      <c r="RN305" s="88"/>
      <c r="RO305" s="88"/>
      <c r="RP305" s="88"/>
      <c r="RQ305" s="88"/>
      <c r="RR305" s="88"/>
      <c r="RS305" s="88"/>
      <c r="RT305" s="88"/>
      <c r="RU305" s="88"/>
      <c r="RV305" s="88"/>
      <c r="RW305" s="88"/>
      <c r="RX305" s="88"/>
      <c r="RY305" s="88"/>
      <c r="RZ305" s="88"/>
      <c r="SA305" s="88"/>
      <c r="SB305" s="88"/>
      <c r="SC305" s="88"/>
      <c r="SD305" s="88"/>
      <c r="SE305" s="88"/>
      <c r="SF305" s="88"/>
      <c r="SG305" s="88"/>
      <c r="SH305" s="88"/>
      <c r="SI305" s="88"/>
      <c r="SJ305" s="88"/>
      <c r="SK305" s="88"/>
      <c r="SL305" s="88"/>
      <c r="SM305" s="88"/>
      <c r="SN305" s="88"/>
      <c r="SO305" s="88"/>
      <c r="SP305" s="88"/>
      <c r="SQ305" s="88"/>
      <c r="SR305" s="88"/>
      <c r="SS305" s="88"/>
      <c r="ST305" s="88"/>
      <c r="SU305" s="88"/>
      <c r="SV305" s="88"/>
      <c r="SW305" s="88"/>
      <c r="SX305" s="88"/>
      <c r="SY305" s="88"/>
      <c r="SZ305" s="88"/>
      <c r="TA305" s="88"/>
      <c r="TB305" s="88"/>
      <c r="TC305" s="88"/>
      <c r="TD305" s="88"/>
      <c r="TE305" s="88"/>
      <c r="TF305" s="88"/>
      <c r="TG305" s="88"/>
      <c r="TH305" s="88"/>
      <c r="TI305" s="88"/>
      <c r="TJ305" s="88"/>
      <c r="TK305" s="88"/>
      <c r="TL305" s="88"/>
      <c r="TM305" s="88"/>
      <c r="TN305" s="88"/>
      <c r="TO305" s="88"/>
      <c r="TP305" s="88"/>
      <c r="TQ305" s="88"/>
      <c r="TR305" s="88"/>
      <c r="TS305" s="88"/>
      <c r="TT305" s="88"/>
      <c r="TU305" s="88"/>
      <c r="TV305" s="88"/>
      <c r="TW305" s="88"/>
      <c r="TX305" s="88"/>
      <c r="TY305" s="88"/>
      <c r="TZ305" s="88"/>
      <c r="UA305" s="88"/>
      <c r="UB305" s="88"/>
      <c r="UC305" s="88"/>
      <c r="UD305" s="88"/>
      <c r="UE305" s="88"/>
      <c r="UF305" s="88"/>
      <c r="UG305" s="88"/>
      <c r="UH305" s="88"/>
      <c r="UI305" s="88"/>
      <c r="UJ305" s="88"/>
      <c r="UK305" s="88"/>
      <c r="UL305" s="88"/>
      <c r="UM305" s="88"/>
      <c r="UN305" s="88"/>
      <c r="UO305" s="88"/>
      <c r="UP305" s="88"/>
      <c r="UQ305" s="88"/>
      <c r="UR305" s="88"/>
      <c r="US305" s="88"/>
      <c r="UT305" s="88"/>
      <c r="UU305" s="88"/>
      <c r="UV305" s="88"/>
      <c r="UW305" s="88"/>
      <c r="UX305" s="88"/>
      <c r="UY305" s="88"/>
      <c r="UZ305" s="88"/>
      <c r="VA305" s="88"/>
      <c r="VB305" s="88"/>
      <c r="VC305" s="88"/>
      <c r="VD305" s="88"/>
      <c r="VE305" s="88"/>
      <c r="VF305" s="88"/>
      <c r="VG305" s="88"/>
      <c r="VH305" s="88"/>
      <c r="VI305" s="88"/>
      <c r="VJ305" s="88"/>
      <c r="VK305" s="88"/>
      <c r="VL305" s="88"/>
      <c r="VM305" s="88"/>
      <c r="VN305" s="88"/>
      <c r="VO305" s="88"/>
      <c r="VP305" s="88"/>
      <c r="VQ305" s="88"/>
      <c r="VR305" s="88"/>
      <c r="VS305" s="88"/>
      <c r="VT305" s="88"/>
      <c r="VU305" s="88"/>
      <c r="VV305" s="88"/>
      <c r="VW305" s="88"/>
      <c r="VX305" s="88"/>
      <c r="VY305" s="88"/>
      <c r="VZ305" s="88"/>
      <c r="WA305" s="88"/>
      <c r="WB305" s="88"/>
      <c r="WC305" s="88"/>
      <c r="WD305" s="88"/>
      <c r="WE305" s="88"/>
      <c r="WF305" s="88"/>
      <c r="WG305" s="88"/>
      <c r="WH305" s="88"/>
      <c r="WI305" s="88"/>
      <c r="WJ305" s="88"/>
      <c r="WK305" s="88"/>
      <c r="WL305" s="88"/>
      <c r="WM305" s="88"/>
      <c r="WN305" s="88"/>
      <c r="WO305" s="88"/>
      <c r="WP305" s="88"/>
      <c r="WQ305" s="88"/>
      <c r="WR305" s="88"/>
      <c r="WS305" s="88"/>
      <c r="WT305" s="88"/>
      <c r="WU305" s="88"/>
      <c r="WV305" s="88"/>
      <c r="WW305" s="88"/>
      <c r="WX305" s="88"/>
      <c r="WY305" s="88"/>
      <c r="WZ305" s="88"/>
      <c r="XA305" s="88"/>
      <c r="XB305" s="88"/>
      <c r="XC305" s="88"/>
      <c r="XD305" s="88"/>
      <c r="XE305" s="88"/>
      <c r="XF305" s="88"/>
      <c r="XG305" s="88"/>
      <c r="XH305" s="88"/>
      <c r="XI305" s="88"/>
      <c r="XJ305" s="88"/>
      <c r="XK305" s="88"/>
      <c r="XL305" s="88"/>
      <c r="XM305" s="88"/>
      <c r="XN305" s="88"/>
      <c r="XO305" s="88"/>
      <c r="XP305" s="88"/>
      <c r="XQ305" s="88"/>
      <c r="XR305" s="88"/>
      <c r="XS305" s="88"/>
      <c r="XT305" s="88"/>
      <c r="XU305" s="88"/>
      <c r="XV305" s="88"/>
      <c r="XW305" s="88"/>
      <c r="XX305" s="88"/>
      <c r="XY305" s="88"/>
      <c r="XZ305" s="88"/>
      <c r="YA305" s="88"/>
      <c r="YB305" s="88"/>
      <c r="YC305" s="88"/>
      <c r="YD305" s="88"/>
      <c r="YE305" s="88"/>
      <c r="YF305" s="88"/>
      <c r="YG305" s="88"/>
      <c r="YH305" s="88"/>
      <c r="YI305" s="88"/>
      <c r="YJ305" s="88"/>
      <c r="YK305" s="88"/>
      <c r="YL305" s="88"/>
      <c r="YM305" s="88"/>
      <c r="YN305" s="88"/>
      <c r="YO305" s="88"/>
      <c r="YP305" s="88"/>
      <c r="YQ305" s="88"/>
      <c r="YR305" s="88"/>
      <c r="YS305" s="88"/>
      <c r="YT305" s="88"/>
      <c r="YU305" s="88"/>
      <c r="YV305" s="88"/>
      <c r="YW305" s="88"/>
      <c r="YX305" s="88"/>
      <c r="YY305" s="88"/>
      <c r="YZ305" s="88"/>
      <c r="ZA305" s="88"/>
      <c r="ZB305" s="88"/>
      <c r="ZC305" s="88"/>
      <c r="ZD305" s="88"/>
      <c r="ZE305" s="88"/>
      <c r="ZF305" s="88"/>
      <c r="ZG305" s="88"/>
      <c r="ZH305" s="88"/>
      <c r="ZI305" s="88"/>
      <c r="ZJ305" s="88"/>
      <c r="ZK305" s="88"/>
      <c r="ZL305" s="88"/>
      <c r="ZM305" s="88"/>
      <c r="ZN305" s="88"/>
      <c r="ZO305" s="88"/>
      <c r="ZP305" s="88"/>
      <c r="ZQ305" s="88"/>
      <c r="ZR305" s="88"/>
      <c r="ZS305" s="88"/>
      <c r="ZT305" s="88"/>
      <c r="ZU305" s="88"/>
      <c r="ZV305" s="88"/>
      <c r="ZW305" s="88"/>
      <c r="ZX305" s="88"/>
      <c r="ZY305" s="88"/>
      <c r="ZZ305" s="88"/>
      <c r="AAA305" s="88"/>
      <c r="AAB305" s="88"/>
      <c r="AAC305" s="88"/>
      <c r="AAD305" s="88"/>
      <c r="AAE305" s="88"/>
      <c r="AAF305" s="88"/>
      <c r="AAG305" s="88"/>
      <c r="AAH305" s="88"/>
      <c r="AAI305" s="88"/>
      <c r="AAJ305" s="88"/>
      <c r="AAK305" s="88"/>
      <c r="AAL305" s="88"/>
      <c r="AAM305" s="88"/>
      <c r="AAN305" s="88"/>
      <c r="AAO305" s="88"/>
      <c r="AAP305" s="88"/>
      <c r="AAQ305" s="88"/>
      <c r="AAR305" s="88"/>
      <c r="AAS305" s="88"/>
      <c r="AAT305" s="88"/>
      <c r="AAU305" s="88"/>
      <c r="AAV305" s="88"/>
      <c r="AAW305" s="88"/>
      <c r="AAX305" s="88"/>
      <c r="AAY305" s="88"/>
      <c r="AAZ305" s="88"/>
      <c r="ABA305" s="88"/>
      <c r="ABB305" s="88"/>
      <c r="ABC305" s="88"/>
      <c r="ABD305" s="88"/>
      <c r="ABE305" s="88"/>
      <c r="ABF305" s="88"/>
      <c r="ABG305" s="88"/>
      <c r="ABH305" s="88"/>
      <c r="ABI305" s="88"/>
      <c r="ABJ305" s="88"/>
      <c r="ABK305" s="88"/>
      <c r="ABL305" s="88"/>
      <c r="ABM305" s="88"/>
      <c r="ABN305" s="88"/>
      <c r="ABO305" s="88"/>
      <c r="ABP305" s="88"/>
      <c r="ABQ305" s="88"/>
      <c r="ABR305" s="88"/>
      <c r="ABS305" s="88"/>
      <c r="ABT305" s="88"/>
      <c r="ABU305" s="88"/>
      <c r="ABV305" s="88"/>
      <c r="ABW305" s="88"/>
      <c r="ABX305" s="88"/>
      <c r="ABY305" s="88"/>
      <c r="ABZ305" s="88"/>
      <c r="ACA305" s="88"/>
      <c r="ACB305" s="88"/>
      <c r="ACC305" s="88"/>
      <c r="ACD305" s="88"/>
      <c r="ACE305" s="88"/>
      <c r="ACF305" s="88"/>
      <c r="ACG305" s="88"/>
      <c r="ACH305" s="88"/>
      <c r="ACI305" s="88"/>
      <c r="ACJ305" s="88"/>
      <c r="ACK305" s="88"/>
      <c r="ACL305" s="88"/>
      <c r="ACM305" s="88"/>
      <c r="ACN305" s="88"/>
      <c r="ACO305" s="88"/>
      <c r="ACP305" s="88"/>
      <c r="ACQ305" s="88"/>
      <c r="ACR305" s="88"/>
      <c r="ACS305" s="88"/>
      <c r="ACT305" s="88"/>
      <c r="ACU305" s="88"/>
      <c r="ACV305" s="88"/>
      <c r="ACW305" s="88"/>
      <c r="ACX305" s="88"/>
      <c r="ACY305" s="88"/>
      <c r="ACZ305" s="88"/>
      <c r="ADA305" s="88"/>
      <c r="ADB305" s="88"/>
      <c r="ADC305" s="88"/>
      <c r="ADD305" s="88"/>
      <c r="ADE305" s="88"/>
      <c r="ADF305" s="88"/>
      <c r="ADG305" s="88"/>
      <c r="ADH305" s="88"/>
      <c r="ADI305" s="88"/>
      <c r="ADJ305" s="88"/>
      <c r="ADK305" s="88"/>
      <c r="ADL305" s="88"/>
      <c r="ADM305" s="88"/>
      <c r="ADN305" s="88"/>
      <c r="ADO305" s="88"/>
      <c r="ADP305" s="88"/>
      <c r="ADQ305" s="88"/>
      <c r="ADR305" s="88"/>
      <c r="ADS305" s="88"/>
      <c r="ADT305" s="88"/>
      <c r="ADU305" s="88"/>
      <c r="ADV305" s="88"/>
      <c r="ADW305" s="88"/>
      <c r="ADX305" s="88"/>
      <c r="ADY305" s="88"/>
      <c r="ADZ305" s="88"/>
      <c r="AEA305" s="88"/>
      <c r="AEB305" s="88"/>
      <c r="AEC305" s="88"/>
      <c r="AED305" s="88"/>
      <c r="AEE305" s="88"/>
      <c r="AEF305" s="88"/>
      <c r="AEG305" s="88"/>
      <c r="AEH305" s="88"/>
      <c r="AEI305" s="88"/>
      <c r="AEJ305" s="88"/>
      <c r="AEK305" s="88"/>
      <c r="AEL305" s="88"/>
      <c r="AEM305" s="88"/>
      <c r="AEN305" s="88"/>
      <c r="AEO305" s="88"/>
      <c r="AEP305" s="88"/>
      <c r="AEQ305" s="88"/>
      <c r="AER305" s="88"/>
      <c r="AES305" s="88"/>
      <c r="AET305" s="88"/>
      <c r="AEU305" s="88"/>
      <c r="AEV305" s="88"/>
      <c r="AEW305" s="88"/>
      <c r="AEX305" s="88"/>
      <c r="AEY305" s="88"/>
      <c r="AEZ305" s="88"/>
      <c r="AFA305" s="88"/>
      <c r="AFB305" s="88"/>
      <c r="AFC305" s="88"/>
      <c r="AFD305" s="88"/>
      <c r="AFE305" s="88"/>
      <c r="AFF305" s="88"/>
      <c r="AFG305" s="88"/>
      <c r="AFH305" s="88"/>
      <c r="AFI305" s="88"/>
      <c r="AFJ305" s="88"/>
      <c r="AFK305" s="88"/>
      <c r="AFL305" s="88"/>
      <c r="AFM305" s="88"/>
      <c r="AFN305" s="88"/>
      <c r="AFO305" s="88"/>
      <c r="AFP305" s="88"/>
      <c r="AFQ305" s="88"/>
      <c r="AFR305" s="88"/>
      <c r="AFS305" s="88"/>
      <c r="AFT305" s="88"/>
      <c r="AFU305" s="88"/>
      <c r="AFV305" s="88"/>
      <c r="AFW305" s="88"/>
      <c r="AFX305" s="88"/>
      <c r="AFY305" s="88"/>
      <c r="AFZ305" s="88"/>
      <c r="AGA305" s="88"/>
      <c r="AGB305" s="88"/>
      <c r="AGC305" s="88"/>
      <c r="AGD305" s="88"/>
      <c r="AGE305" s="88"/>
      <c r="AGF305" s="88"/>
      <c r="AGG305" s="88"/>
      <c r="AGH305" s="88"/>
      <c r="AGI305" s="88"/>
      <c r="AGJ305" s="88"/>
      <c r="AGK305" s="88"/>
      <c r="AGL305" s="88"/>
      <c r="AGM305" s="88"/>
      <c r="AGN305" s="88"/>
      <c r="AGO305" s="88"/>
      <c r="AGP305" s="88"/>
      <c r="AGQ305" s="88"/>
      <c r="AGR305" s="88"/>
      <c r="AGS305" s="88"/>
      <c r="AGT305" s="88"/>
      <c r="AGU305" s="88"/>
      <c r="AGV305" s="88"/>
      <c r="AGW305" s="88"/>
      <c r="AGX305" s="88"/>
      <c r="AGY305" s="88"/>
      <c r="AGZ305" s="88"/>
      <c r="AHA305" s="88"/>
      <c r="AHB305" s="88"/>
      <c r="AHC305" s="88"/>
      <c r="AHD305" s="88"/>
      <c r="AHE305" s="88"/>
      <c r="AHF305" s="88"/>
      <c r="AHG305" s="88"/>
      <c r="AHH305" s="88"/>
      <c r="AHI305" s="88"/>
      <c r="AHJ305" s="88"/>
      <c r="AHK305" s="88"/>
      <c r="AHL305" s="88"/>
      <c r="AHM305" s="88"/>
      <c r="AHN305" s="88"/>
      <c r="AHO305" s="88"/>
      <c r="AHP305" s="88"/>
      <c r="AHQ305" s="88"/>
      <c r="AHR305" s="88"/>
      <c r="AHS305" s="88"/>
      <c r="AHT305" s="88"/>
      <c r="AHU305" s="88"/>
      <c r="AHV305" s="88"/>
      <c r="AHW305" s="88"/>
      <c r="AHX305" s="88"/>
      <c r="AHY305" s="88"/>
      <c r="AHZ305" s="88"/>
      <c r="AIA305" s="88"/>
      <c r="AIB305" s="88"/>
      <c r="AIC305" s="88"/>
      <c r="AID305" s="88"/>
      <c r="AIE305" s="88"/>
      <c r="AIF305" s="88"/>
      <c r="AIG305" s="88"/>
      <c r="AIH305" s="88"/>
      <c r="AII305" s="88"/>
      <c r="AIJ305" s="88"/>
      <c r="AIK305" s="88"/>
      <c r="AIL305" s="88"/>
      <c r="AIM305" s="88"/>
      <c r="AIN305" s="88"/>
      <c r="AIO305" s="88"/>
      <c r="AIP305" s="88"/>
      <c r="AIQ305" s="88"/>
      <c r="AIR305" s="88"/>
      <c r="AIS305" s="88"/>
      <c r="AIT305" s="88"/>
      <c r="AIU305" s="88"/>
      <c r="AIV305" s="88"/>
      <c r="AIW305" s="88"/>
      <c r="AIX305" s="88"/>
      <c r="AIY305" s="88"/>
      <c r="AIZ305" s="88"/>
      <c r="AJA305" s="88"/>
      <c r="AJB305" s="88"/>
      <c r="AJC305" s="88"/>
      <c r="AJD305" s="88"/>
      <c r="AJE305" s="88"/>
      <c r="AJF305" s="88"/>
      <c r="AJG305" s="88"/>
      <c r="AJH305" s="88"/>
      <c r="AJI305" s="88"/>
      <c r="AJJ305" s="88"/>
      <c r="AJK305" s="88"/>
      <c r="AJL305" s="88"/>
      <c r="AJM305" s="88"/>
      <c r="AJN305" s="88"/>
      <c r="AJO305" s="88"/>
      <c r="AJP305" s="88"/>
      <c r="AJQ305" s="88"/>
      <c r="AJR305" s="88"/>
      <c r="AJS305" s="88"/>
      <c r="AJT305" s="88"/>
      <c r="AJU305" s="88"/>
      <c r="AJV305" s="88"/>
      <c r="AJW305" s="88"/>
      <c r="AJX305" s="88"/>
      <c r="AJY305" s="88"/>
      <c r="AJZ305" s="88"/>
      <c r="AKA305" s="88"/>
      <c r="AKB305" s="88"/>
      <c r="AKC305" s="88"/>
      <c r="AKD305" s="88"/>
      <c r="AKE305" s="88"/>
      <c r="AKF305" s="88"/>
      <c r="AKG305" s="88"/>
      <c r="AKH305" s="88"/>
      <c r="AKI305" s="88"/>
      <c r="AKJ305" s="88"/>
      <c r="AKK305" s="88"/>
      <c r="AKL305" s="88"/>
      <c r="AKM305" s="88"/>
      <c r="AKN305" s="88"/>
      <c r="AKO305" s="88"/>
      <c r="AKP305" s="88"/>
      <c r="AKQ305" s="88"/>
      <c r="AKR305" s="88"/>
      <c r="AKS305" s="88"/>
      <c r="AKT305" s="88"/>
      <c r="AKU305" s="88"/>
      <c r="AKV305" s="88"/>
      <c r="AKW305" s="88"/>
      <c r="AKX305" s="88"/>
      <c r="AKY305" s="88"/>
      <c r="AKZ305" s="88"/>
      <c r="ALA305" s="88"/>
      <c r="ALB305" s="88"/>
      <c r="ALC305" s="88"/>
      <c r="ALD305" s="88"/>
      <c r="ALE305" s="88"/>
      <c r="ALF305" s="88"/>
      <c r="ALG305" s="88"/>
      <c r="ALH305" s="88"/>
      <c r="ALI305" s="88"/>
      <c r="ALJ305" s="88"/>
      <c r="ALK305" s="88"/>
      <c r="ALL305" s="88"/>
      <c r="ALM305" s="88"/>
      <c r="ALN305" s="88"/>
      <c r="ALO305" s="88"/>
      <c r="ALP305" s="88"/>
      <c r="ALQ305" s="88"/>
      <c r="ALR305" s="88"/>
      <c r="ALS305" s="88"/>
      <c r="ALT305" s="88"/>
      <c r="ALU305" s="88"/>
      <c r="ALV305" s="88"/>
      <c r="ALW305" s="88"/>
      <c r="ALX305" s="88"/>
      <c r="ALY305" s="88"/>
      <c r="ALZ305" s="88"/>
      <c r="AMA305" s="88"/>
      <c r="AMB305" s="88"/>
      <c r="AMC305" s="88"/>
      <c r="AMD305" s="88"/>
      <c r="AME305" s="88"/>
      <c r="AMF305" s="88"/>
      <c r="AMG305" s="88"/>
      <c r="AMH305" s="88"/>
      <c r="AMI305" s="88"/>
      <c r="AMJ305" s="88"/>
      <c r="AMK305" s="88"/>
      <c r="AML305" s="88"/>
    </row>
    <row r="306" spans="1:1026" s="84" customFormat="1" ht="14.25" x14ac:dyDescent="0.25">
      <c r="A306" s="86"/>
      <c r="B306" s="86"/>
      <c r="C306" s="139"/>
      <c r="D306" s="139"/>
      <c r="E306" s="140"/>
      <c r="F306" s="140"/>
      <c r="G306" s="176"/>
      <c r="H306" s="177"/>
      <c r="I306" s="140"/>
      <c r="J306" s="162"/>
      <c r="K306" s="153"/>
      <c r="L306" s="140"/>
      <c r="M306" s="83"/>
      <c r="Q306" s="85"/>
    </row>
    <row r="307" spans="1:1026" s="84" customFormat="1" ht="14.25" x14ac:dyDescent="0.25">
      <c r="A307" s="86"/>
      <c r="B307" s="86"/>
      <c r="C307" s="139"/>
      <c r="D307" s="139"/>
      <c r="E307" s="140"/>
      <c r="F307" s="140"/>
      <c r="G307" s="176"/>
      <c r="H307" s="177"/>
      <c r="I307" s="140"/>
      <c r="J307" s="162"/>
      <c r="K307" s="153"/>
      <c r="L307" s="140"/>
      <c r="M307" s="83"/>
      <c r="Q307" s="85"/>
    </row>
    <row r="308" spans="1:1026" s="84" customFormat="1" ht="14.25" x14ac:dyDescent="0.25">
      <c r="A308" s="86"/>
      <c r="B308" s="86"/>
      <c r="C308" s="139"/>
      <c r="D308" s="139"/>
      <c r="E308" s="140"/>
      <c r="F308" s="140"/>
      <c r="G308" s="176"/>
      <c r="H308" s="177"/>
      <c r="I308" s="140"/>
      <c r="J308" s="162"/>
      <c r="K308" s="153"/>
      <c r="L308" s="140"/>
      <c r="M308" s="83"/>
      <c r="Q308" s="85"/>
    </row>
    <row r="309" spans="1:1026" s="84" customFormat="1" ht="14.25" x14ac:dyDescent="0.25">
      <c r="A309" s="86"/>
      <c r="B309" s="86"/>
      <c r="C309" s="139"/>
      <c r="D309" s="139"/>
      <c r="E309" s="140"/>
      <c r="F309" s="140"/>
      <c r="G309" s="176"/>
      <c r="H309" s="177"/>
      <c r="I309" s="140"/>
      <c r="J309" s="162"/>
      <c r="K309" s="153"/>
      <c r="L309" s="140"/>
      <c r="M309" s="83"/>
      <c r="Q309" s="85"/>
    </row>
    <row r="310" spans="1:1026" s="84" customFormat="1" ht="14.25" x14ac:dyDescent="0.25">
      <c r="A310" s="86"/>
      <c r="B310" s="86"/>
      <c r="C310" s="139"/>
      <c r="D310" s="139"/>
      <c r="E310" s="140"/>
      <c r="F310" s="140"/>
      <c r="G310" s="176"/>
      <c r="H310" s="177"/>
      <c r="I310" s="140"/>
      <c r="J310" s="162"/>
      <c r="K310" s="153"/>
      <c r="L310" s="140"/>
      <c r="M310" s="83"/>
      <c r="Q310" s="85"/>
    </row>
    <row r="311" spans="1:1026" s="84" customFormat="1" ht="14.25" x14ac:dyDescent="0.25">
      <c r="A311" s="86"/>
      <c r="B311" s="86"/>
      <c r="C311" s="139"/>
      <c r="D311" s="139"/>
      <c r="E311" s="140"/>
      <c r="F311" s="140"/>
      <c r="G311" s="176"/>
      <c r="H311" s="177"/>
      <c r="I311" s="140"/>
      <c r="J311" s="162"/>
      <c r="K311" s="153"/>
      <c r="L311" s="140"/>
      <c r="M311" s="83"/>
      <c r="Q311" s="85"/>
    </row>
    <row r="312" spans="1:1026" s="84" customFormat="1" ht="14.25" x14ac:dyDescent="0.25">
      <c r="A312" s="86"/>
      <c r="B312" s="86"/>
      <c r="C312" s="139"/>
      <c r="D312" s="139"/>
      <c r="E312" s="140"/>
      <c r="F312" s="140"/>
      <c r="G312" s="176"/>
      <c r="H312" s="177"/>
      <c r="I312" s="140"/>
      <c r="J312" s="162"/>
      <c r="K312" s="153"/>
      <c r="L312" s="140"/>
      <c r="M312" s="83"/>
      <c r="Q312" s="85"/>
    </row>
    <row r="313" spans="1:1026" s="84" customFormat="1" ht="14.25" x14ac:dyDescent="0.25">
      <c r="A313" s="86"/>
      <c r="B313" s="86"/>
      <c r="C313" s="139"/>
      <c r="D313" s="139"/>
      <c r="E313" s="140"/>
      <c r="F313" s="140"/>
      <c r="G313" s="176"/>
      <c r="H313" s="177"/>
      <c r="I313" s="140"/>
      <c r="J313" s="162"/>
      <c r="K313" s="153"/>
      <c r="L313" s="140"/>
      <c r="M313" s="83"/>
      <c r="Q313" s="85"/>
    </row>
    <row r="314" spans="1:1026" s="84" customFormat="1" ht="14.25" x14ac:dyDescent="0.25">
      <c r="A314" s="86"/>
      <c r="B314" s="86"/>
      <c r="C314" s="139"/>
      <c r="D314" s="139"/>
      <c r="E314" s="140"/>
      <c r="F314" s="140"/>
      <c r="G314" s="176"/>
      <c r="H314" s="177"/>
      <c r="I314" s="140"/>
      <c r="J314" s="162"/>
      <c r="K314" s="153"/>
      <c r="L314" s="140"/>
      <c r="M314" s="83"/>
      <c r="Q314" s="85"/>
    </row>
  </sheetData>
  <mergeCells count="50">
    <mergeCell ref="B302:F302"/>
    <mergeCell ref="H302:L302"/>
    <mergeCell ref="B293:F293"/>
    <mergeCell ref="H293:L293"/>
    <mergeCell ref="B294:F294"/>
    <mergeCell ref="H294:L294"/>
    <mergeCell ref="B295:F295"/>
    <mergeCell ref="H295:L295"/>
    <mergeCell ref="H299:L299"/>
    <mergeCell ref="B300:F300"/>
    <mergeCell ref="H300:L300"/>
    <mergeCell ref="B305:G305"/>
    <mergeCell ref="B292:F292"/>
    <mergeCell ref="H292:L292"/>
    <mergeCell ref="A285:E285"/>
    <mergeCell ref="A286:E286"/>
    <mergeCell ref="F285:I285"/>
    <mergeCell ref="F286:I286"/>
    <mergeCell ref="B303:F303"/>
    <mergeCell ref="H303:L303"/>
    <mergeCell ref="B296:F296"/>
    <mergeCell ref="H296:L296"/>
    <mergeCell ref="B299:F299"/>
    <mergeCell ref="A289:L289"/>
    <mergeCell ref="B301:F301"/>
    <mergeCell ref="H301:L301"/>
    <mergeCell ref="H291:L291"/>
    <mergeCell ref="A2:L2"/>
    <mergeCell ref="A3:L3"/>
    <mergeCell ref="A4:L4"/>
    <mergeCell ref="I6:K6"/>
    <mergeCell ref="G7:H7"/>
    <mergeCell ref="I7:I8"/>
    <mergeCell ref="J7:K7"/>
    <mergeCell ref="F7:F8"/>
    <mergeCell ref="F6:H6"/>
    <mergeCell ref="L6:L8"/>
    <mergeCell ref="A6:A8"/>
    <mergeCell ref="B6:B8"/>
    <mergeCell ref="C6:C8"/>
    <mergeCell ref="D6:D8"/>
    <mergeCell ref="E6:E8"/>
    <mergeCell ref="A280:E280"/>
    <mergeCell ref="B297:F297"/>
    <mergeCell ref="H297:L297"/>
    <mergeCell ref="B298:F298"/>
    <mergeCell ref="H298:L298"/>
    <mergeCell ref="A284:E284"/>
    <mergeCell ref="F284:I284"/>
    <mergeCell ref="B291:F291"/>
  </mergeCells>
  <phoneticPr fontId="11" type="noConversion"/>
  <conditionalFormatting sqref="L248:L254">
    <cfRule type="containsText" dxfId="3" priority="7" operator="containsText" text="Заказчик">
      <formula>NOT(ISERROR(SEARCH("Заказчик",L248)))</formula>
    </cfRule>
  </conditionalFormatting>
  <conditionalFormatting sqref="L292:L296 L280:L283 L299:L314">
    <cfRule type="containsText" dxfId="2" priority="21" operator="containsText" text="заказчик">
      <formula>NOT(ISERROR(SEARCH("заказчик",L280)))</formula>
    </cfRule>
  </conditionalFormatting>
  <conditionalFormatting sqref="L285:L286">
    <cfRule type="containsText" dxfId="1" priority="3" operator="containsText" text="заказчик">
      <formula>NOT(ISERROR(SEARCH("заказчик",L285)))</formula>
    </cfRule>
  </conditionalFormatting>
  <conditionalFormatting sqref="L284">
    <cfRule type="containsText" dxfId="0" priority="2" operator="containsText" text="заказчик">
      <formula>NOT(ISERROR(SEARCH("заказчик",L284)))</formula>
    </cfRule>
  </conditionalFormatting>
  <pageMargins left="0.31496062992125984" right="0.31496062992125984" top="0.35433070866141736" bottom="0.35433070866141736" header="0.31496062992125984" footer="0.31496062992125984"/>
  <pageSetup paperSize="9" scale="34" fitToHeight="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47"/>
  <sheetViews>
    <sheetView workbookViewId="0">
      <selection activeCell="I18" sqref="I18:I20"/>
    </sheetView>
  </sheetViews>
  <sheetFormatPr defaultRowHeight="15" x14ac:dyDescent="0.25"/>
  <cols>
    <col min="1" max="1" width="24.5703125" style="40" customWidth="1"/>
    <col min="2" max="2" width="22.42578125" style="40" customWidth="1"/>
    <col min="4" max="4" width="16.85546875" customWidth="1"/>
    <col min="6" max="6" width="18.5703125" style="40" customWidth="1"/>
  </cols>
  <sheetData>
    <row r="2" spans="1:7" x14ac:dyDescent="0.25">
      <c r="A2" s="8"/>
      <c r="B2" s="38" t="s">
        <v>94</v>
      </c>
      <c r="C2" s="38" t="s">
        <v>94</v>
      </c>
      <c r="D2" s="13" t="s">
        <v>96</v>
      </c>
      <c r="E2" s="13" t="s">
        <v>96</v>
      </c>
      <c r="F2" s="38" t="s">
        <v>13</v>
      </c>
      <c r="G2" s="38" t="s">
        <v>13</v>
      </c>
    </row>
    <row r="3" spans="1:7" x14ac:dyDescent="0.25">
      <c r="A3" s="8" t="s">
        <v>93</v>
      </c>
      <c r="B3" s="38" t="s">
        <v>95</v>
      </c>
      <c r="C3" s="13" t="s">
        <v>40</v>
      </c>
      <c r="D3" s="13" t="s">
        <v>95</v>
      </c>
      <c r="E3" s="13" t="s">
        <v>40</v>
      </c>
      <c r="F3" s="38" t="s">
        <v>95</v>
      </c>
      <c r="G3" s="13" t="s">
        <v>40</v>
      </c>
    </row>
    <row r="4" spans="1:7" x14ac:dyDescent="0.25">
      <c r="A4" s="43" t="s">
        <v>105</v>
      </c>
      <c r="B4" s="43"/>
      <c r="C4" s="44"/>
      <c r="D4" s="44"/>
      <c r="E4" s="44"/>
      <c r="F4" s="43"/>
      <c r="G4" s="44"/>
    </row>
    <row r="5" spans="1:7" ht="60" x14ac:dyDescent="0.25">
      <c r="A5" s="8" t="s">
        <v>104</v>
      </c>
      <c r="B5" s="39" t="s">
        <v>97</v>
      </c>
      <c r="C5" s="4">
        <f>905.6+5.2</f>
        <v>910.8</v>
      </c>
      <c r="D5" s="41" t="s">
        <v>97</v>
      </c>
      <c r="E5" s="4">
        <f>1971+18.2</f>
        <v>1989.2</v>
      </c>
      <c r="F5" s="8" t="s">
        <v>119</v>
      </c>
      <c r="G5" s="4">
        <f>40.6+19.4+7.3</f>
        <v>67.3</v>
      </c>
    </row>
    <row r="6" spans="1:7" ht="60" x14ac:dyDescent="0.25">
      <c r="A6" s="8" t="s">
        <v>104</v>
      </c>
      <c r="B6" s="39" t="s">
        <v>99</v>
      </c>
      <c r="C6" s="4">
        <f>905.6+5.2</f>
        <v>910.8</v>
      </c>
      <c r="D6" s="41" t="s">
        <v>98</v>
      </c>
      <c r="E6" s="4">
        <f>69.7+69.7+26.4</f>
        <v>165.8</v>
      </c>
      <c r="F6" s="8" t="s">
        <v>103</v>
      </c>
      <c r="G6" s="4">
        <f>5.2+40.6+19.4+7.3</f>
        <v>72.5</v>
      </c>
    </row>
    <row r="7" spans="1:7" ht="60" x14ac:dyDescent="0.25">
      <c r="A7" s="8" t="s">
        <v>104</v>
      </c>
      <c r="B7" s="39" t="s">
        <v>100</v>
      </c>
      <c r="C7" s="4">
        <f>905.6+5.2</f>
        <v>910.8</v>
      </c>
      <c r="D7" s="41" t="s">
        <v>100</v>
      </c>
      <c r="E7" s="4">
        <f t="shared" ref="E7" si="0">1971+18.2</f>
        <v>1989.2</v>
      </c>
      <c r="F7" s="8" t="s">
        <v>114</v>
      </c>
      <c r="G7" s="4">
        <v>842</v>
      </c>
    </row>
    <row r="8" spans="1:7" ht="60" x14ac:dyDescent="0.25">
      <c r="A8" s="8" t="s">
        <v>104</v>
      </c>
      <c r="B8" s="39" t="s">
        <v>101</v>
      </c>
      <c r="C8" s="4">
        <f>905.6+5.2</f>
        <v>910.8</v>
      </c>
      <c r="D8" s="39" t="s">
        <v>101</v>
      </c>
      <c r="E8" s="4">
        <f>1971+18.2+2.2</f>
        <v>1991.4</v>
      </c>
      <c r="F8" s="42" t="s">
        <v>115</v>
      </c>
      <c r="G8" s="4">
        <v>842</v>
      </c>
    </row>
    <row r="9" spans="1:7" ht="60" x14ac:dyDescent="0.25">
      <c r="A9" s="8" t="s">
        <v>104</v>
      </c>
      <c r="B9" s="8"/>
      <c r="C9" s="4"/>
      <c r="D9" s="39" t="s">
        <v>102</v>
      </c>
      <c r="E9" s="4">
        <f>69.7+69.7+11.7</f>
        <v>151.1</v>
      </c>
      <c r="F9" s="42" t="s">
        <v>116</v>
      </c>
      <c r="G9" s="4">
        <v>7.3</v>
      </c>
    </row>
    <row r="10" spans="1:7" ht="60" x14ac:dyDescent="0.25">
      <c r="A10" s="8" t="s">
        <v>104</v>
      </c>
      <c r="B10" s="8"/>
      <c r="C10" s="4"/>
      <c r="D10" s="39" t="s">
        <v>106</v>
      </c>
      <c r="E10" s="4">
        <f>3.2+11.7</f>
        <v>14.9</v>
      </c>
      <c r="F10" s="8" t="s">
        <v>117</v>
      </c>
      <c r="G10" s="4">
        <f>40.6+19.4+7.3</f>
        <v>67.3</v>
      </c>
    </row>
    <row r="11" spans="1:7" ht="60" x14ac:dyDescent="0.25">
      <c r="A11" s="8" t="s">
        <v>104</v>
      </c>
      <c r="B11" s="8"/>
      <c r="C11" s="4"/>
      <c r="D11" s="39" t="s">
        <v>99</v>
      </c>
      <c r="E11" s="4">
        <v>11.7</v>
      </c>
      <c r="F11" s="8" t="s">
        <v>118</v>
      </c>
      <c r="G11" s="4">
        <f>842+5.2</f>
        <v>847.2</v>
      </c>
    </row>
    <row r="12" spans="1:7" ht="60" x14ac:dyDescent="0.25">
      <c r="A12" s="8" t="s">
        <v>104</v>
      </c>
      <c r="B12" s="8"/>
      <c r="C12" s="4"/>
      <c r="D12" s="39"/>
      <c r="E12" s="4"/>
      <c r="F12" s="42" t="s">
        <v>121</v>
      </c>
      <c r="G12" s="4">
        <v>40.6</v>
      </c>
    </row>
    <row r="13" spans="1:7" ht="60" x14ac:dyDescent="0.25">
      <c r="A13" s="8" t="s">
        <v>104</v>
      </c>
      <c r="B13" s="8"/>
      <c r="C13" s="4"/>
      <c r="D13" s="39"/>
      <c r="E13" s="4"/>
      <c r="F13" s="42" t="s">
        <v>120</v>
      </c>
      <c r="G13" s="4">
        <v>19.399999999999999</v>
      </c>
    </row>
    <row r="14" spans="1:7" x14ac:dyDescent="0.25">
      <c r="A14" s="43" t="s">
        <v>107</v>
      </c>
      <c r="B14" s="43"/>
      <c r="C14" s="44"/>
      <c r="D14" s="44"/>
      <c r="E14" s="44"/>
      <c r="F14" s="43"/>
      <c r="G14" s="44"/>
    </row>
    <row r="15" spans="1:7" ht="60" x14ac:dyDescent="0.25">
      <c r="A15" s="8" t="s">
        <v>108</v>
      </c>
      <c r="B15" s="45" t="s">
        <v>97</v>
      </c>
      <c r="C15" s="4">
        <f>63.2+686+77.9</f>
        <v>827.1</v>
      </c>
      <c r="D15" s="39" t="s">
        <v>97</v>
      </c>
      <c r="E15" s="4">
        <f>86.6+1056.8+140.8+66.8+486+243.2+43.7</f>
        <v>2123.9</v>
      </c>
      <c r="F15" s="8" t="s">
        <v>103</v>
      </c>
      <c r="G15" s="4">
        <f>101</f>
        <v>101</v>
      </c>
    </row>
    <row r="16" spans="1:7" ht="60" x14ac:dyDescent="0.25">
      <c r="A16" s="8" t="s">
        <v>108</v>
      </c>
      <c r="B16" s="8" t="s">
        <v>109</v>
      </c>
      <c r="C16" s="4">
        <v>63.2</v>
      </c>
      <c r="D16" s="39" t="s">
        <v>100</v>
      </c>
      <c r="E16" s="4">
        <f>86.6+66.8+3.7</f>
        <v>157.1</v>
      </c>
      <c r="F16" s="8" t="s">
        <v>123</v>
      </c>
      <c r="G16" s="4">
        <f>101+686</f>
        <v>787</v>
      </c>
    </row>
    <row r="17" spans="1:7" ht="60" x14ac:dyDescent="0.25">
      <c r="A17" s="8" t="s">
        <v>108</v>
      </c>
      <c r="B17" s="8"/>
      <c r="C17" s="4"/>
      <c r="D17" s="39" t="s">
        <v>101</v>
      </c>
      <c r="E17" s="4">
        <f>86.6+66.8+43.7</f>
        <v>197.1</v>
      </c>
      <c r="F17" s="8" t="s">
        <v>122</v>
      </c>
      <c r="G17" s="4">
        <f>101+686+77.9</f>
        <v>864.9</v>
      </c>
    </row>
    <row r="18" spans="1:7" ht="60" x14ac:dyDescent="0.25">
      <c r="A18" s="8" t="s">
        <v>108</v>
      </c>
      <c r="B18" s="8"/>
      <c r="C18" s="4"/>
      <c r="D18" s="39" t="s">
        <v>99</v>
      </c>
      <c r="E18" s="4">
        <f>21.6+43.7</f>
        <v>65.3</v>
      </c>
      <c r="F18" s="8" t="s">
        <v>125</v>
      </c>
      <c r="G18" s="4">
        <v>77.900000000000006</v>
      </c>
    </row>
    <row r="19" spans="1:7" ht="60" x14ac:dyDescent="0.25">
      <c r="A19" s="8" t="s">
        <v>108</v>
      </c>
      <c r="B19" s="8"/>
      <c r="C19" s="4"/>
      <c r="D19" s="39" t="s">
        <v>102</v>
      </c>
      <c r="E19" s="4">
        <f>21.6</f>
        <v>21.6</v>
      </c>
      <c r="F19" s="8" t="s">
        <v>119</v>
      </c>
      <c r="G19" s="4">
        <v>77.900000000000006</v>
      </c>
    </row>
    <row r="20" spans="1:7" ht="60" x14ac:dyDescent="0.25">
      <c r="A20" s="8" t="s">
        <v>108</v>
      </c>
      <c r="B20" s="8"/>
      <c r="C20" s="4"/>
      <c r="D20" s="39" t="s">
        <v>110</v>
      </c>
      <c r="E20" s="4">
        <f>43.7</f>
        <v>43.7</v>
      </c>
      <c r="F20" s="8" t="s">
        <v>124</v>
      </c>
      <c r="G20" s="4">
        <v>101</v>
      </c>
    </row>
    <row r="21" spans="1:7" ht="60" x14ac:dyDescent="0.25">
      <c r="A21" s="8" t="s">
        <v>108</v>
      </c>
      <c r="B21" s="8"/>
      <c r="C21" s="4"/>
      <c r="D21" s="39" t="s">
        <v>111</v>
      </c>
      <c r="E21" s="4">
        <f>21.6+4.1</f>
        <v>25.7</v>
      </c>
      <c r="F21" s="8"/>
      <c r="G21" s="4"/>
    </row>
    <row r="22" spans="1:7" x14ac:dyDescent="0.25">
      <c r="A22" s="43" t="s">
        <v>112</v>
      </c>
      <c r="B22" s="43"/>
      <c r="C22" s="44"/>
      <c r="D22" s="44"/>
      <c r="E22" s="44"/>
      <c r="F22" s="43"/>
      <c r="G22" s="44"/>
    </row>
    <row r="23" spans="1:7" ht="45" x14ac:dyDescent="0.25">
      <c r="A23" s="8" t="s">
        <v>113</v>
      </c>
      <c r="B23" s="8" t="s">
        <v>97</v>
      </c>
      <c r="C23" s="4">
        <f>481.2+4204.4+37.4+262</f>
        <v>4985</v>
      </c>
      <c r="D23" s="39" t="s">
        <v>97</v>
      </c>
      <c r="E23" s="4">
        <f>179+5047.2+742.212+6591.6+138</f>
        <v>12698.012000000001</v>
      </c>
      <c r="F23" s="8" t="s">
        <v>103</v>
      </c>
      <c r="G23" s="4">
        <f>481.2+180.44+115</f>
        <v>776.64</v>
      </c>
    </row>
    <row r="24" spans="1:7" ht="60" x14ac:dyDescent="0.25">
      <c r="A24" s="8"/>
      <c r="B24" s="8" t="s">
        <v>99</v>
      </c>
      <c r="C24" s="4">
        <f>481.2+37.4+262</f>
        <v>780.6</v>
      </c>
      <c r="D24" s="39" t="s">
        <v>99</v>
      </c>
      <c r="E24" s="4">
        <f>1179+742.2+120+138+134.5+35.2</f>
        <v>2348.9</v>
      </c>
      <c r="F24" s="8" t="s">
        <v>119</v>
      </c>
      <c r="G24" s="4">
        <f>481.2+400.4</f>
        <v>881.6</v>
      </c>
    </row>
    <row r="25" spans="1:7" ht="60" x14ac:dyDescent="0.25">
      <c r="A25" s="8"/>
      <c r="B25" s="8" t="s">
        <v>100</v>
      </c>
      <c r="C25" s="4">
        <f>481.2+37.4+262</f>
        <v>780.6</v>
      </c>
      <c r="D25" s="39" t="s">
        <v>102</v>
      </c>
      <c r="E25" s="4">
        <f>481.2+37.4+262+1179+742.2+120+138+134.5+35.2</f>
        <v>3129.5</v>
      </c>
      <c r="F25" s="8" t="s">
        <v>118</v>
      </c>
      <c r="G25" s="4">
        <f>3804+115</f>
        <v>3919</v>
      </c>
    </row>
    <row r="26" spans="1:7" ht="30" x14ac:dyDescent="0.25">
      <c r="A26" s="8"/>
      <c r="B26" s="8" t="s">
        <v>102</v>
      </c>
      <c r="C26" s="4">
        <f>481.2+37.4+262</f>
        <v>780.6</v>
      </c>
      <c r="D26" s="39" t="s">
        <v>100</v>
      </c>
      <c r="E26" s="4">
        <f>481.2+37.4+262+1179+742.2+120+138+134.5+35.2</f>
        <v>3129.5</v>
      </c>
      <c r="F26" s="8" t="s">
        <v>126</v>
      </c>
      <c r="G26" s="4">
        <f>400.4+3804</f>
        <v>4204.3999999999996</v>
      </c>
    </row>
    <row r="27" spans="1:7" ht="45" x14ac:dyDescent="0.25">
      <c r="A27" s="8"/>
      <c r="B27" s="8"/>
      <c r="C27" s="4"/>
      <c r="D27" s="39" t="s">
        <v>111</v>
      </c>
      <c r="E27" s="4">
        <f>134.5+35.2</f>
        <v>169.7</v>
      </c>
      <c r="F27" s="8" t="s">
        <v>125</v>
      </c>
      <c r="G27" s="4">
        <v>400.4</v>
      </c>
    </row>
    <row r="28" spans="1:7" x14ac:dyDescent="0.25">
      <c r="A28" s="10"/>
      <c r="B28" s="49" t="s">
        <v>94</v>
      </c>
      <c r="C28" s="49"/>
      <c r="D28" s="50" t="s">
        <v>96</v>
      </c>
      <c r="E28" s="50"/>
      <c r="F28" s="49" t="s">
        <v>128</v>
      </c>
      <c r="G28" s="49"/>
    </row>
    <row r="29" spans="1:7" x14ac:dyDescent="0.25">
      <c r="A29" s="10"/>
      <c r="B29" s="49" t="s">
        <v>95</v>
      </c>
      <c r="C29" s="50" t="s">
        <v>40</v>
      </c>
      <c r="D29" s="50" t="s">
        <v>95</v>
      </c>
      <c r="E29" s="50" t="s">
        <v>40</v>
      </c>
      <c r="F29" s="49" t="s">
        <v>95</v>
      </c>
      <c r="G29" s="50" t="s">
        <v>40</v>
      </c>
    </row>
    <row r="30" spans="1:7" ht="60" x14ac:dyDescent="0.25">
      <c r="A30" s="46" t="s">
        <v>127</v>
      </c>
      <c r="B30" s="46" t="s">
        <v>97</v>
      </c>
      <c r="C30" s="48">
        <f>C5+C15+C23</f>
        <v>6722.9</v>
      </c>
      <c r="D30" s="46" t="s">
        <v>97</v>
      </c>
      <c r="E30" s="48">
        <f>E23+E15+E5</f>
        <v>16811.112000000001</v>
      </c>
      <c r="F30" s="46" t="s">
        <v>119</v>
      </c>
      <c r="G30" s="48">
        <f>G24+G19+G5</f>
        <v>1026.8</v>
      </c>
    </row>
    <row r="31" spans="1:7" ht="30" x14ac:dyDescent="0.25">
      <c r="A31" s="46"/>
      <c r="B31" s="46" t="s">
        <v>99</v>
      </c>
      <c r="C31" s="48">
        <f>C24+C6</f>
        <v>1691.4</v>
      </c>
      <c r="D31" s="46" t="s">
        <v>100</v>
      </c>
      <c r="E31" s="48">
        <f>E26+E16+E7</f>
        <v>5275.8</v>
      </c>
      <c r="F31" s="46" t="s">
        <v>103</v>
      </c>
      <c r="G31" s="48">
        <f>G23+G15+G6</f>
        <v>950.14</v>
      </c>
    </row>
    <row r="32" spans="1:7" ht="30" x14ac:dyDescent="0.25">
      <c r="A32" s="46"/>
      <c r="B32" s="46" t="s">
        <v>100</v>
      </c>
      <c r="C32" s="48">
        <f>C7+C25</f>
        <v>1691.4</v>
      </c>
      <c r="D32" s="46" t="s">
        <v>101</v>
      </c>
      <c r="E32" s="48">
        <f>E8+E17</f>
        <v>2188.5</v>
      </c>
      <c r="F32" s="46" t="s">
        <v>114</v>
      </c>
      <c r="G32" s="48">
        <f>G7</f>
        <v>842</v>
      </c>
    </row>
    <row r="33" spans="1:7" ht="45" x14ac:dyDescent="0.25">
      <c r="A33" s="46"/>
      <c r="B33" s="46" t="s">
        <v>102</v>
      </c>
      <c r="C33" s="48">
        <f>C26</f>
        <v>780.6</v>
      </c>
      <c r="D33" s="46" t="s">
        <v>99</v>
      </c>
      <c r="E33" s="48">
        <f>E24+E18+E11</f>
        <v>2425.9</v>
      </c>
      <c r="F33" s="46" t="s">
        <v>115</v>
      </c>
      <c r="G33" s="48">
        <f>G8</f>
        <v>842</v>
      </c>
    </row>
    <row r="34" spans="1:7" ht="30" x14ac:dyDescent="0.25">
      <c r="A34" s="46"/>
      <c r="B34" s="46" t="s">
        <v>101</v>
      </c>
      <c r="C34" s="48">
        <f>C8</f>
        <v>910.8</v>
      </c>
      <c r="D34" s="46" t="s">
        <v>102</v>
      </c>
      <c r="E34" s="48">
        <f>E19+E9</f>
        <v>172.7</v>
      </c>
      <c r="F34" s="46" t="s">
        <v>116</v>
      </c>
      <c r="G34" s="48">
        <f>G9</f>
        <v>7.3</v>
      </c>
    </row>
    <row r="35" spans="1:7" ht="30" x14ac:dyDescent="0.25">
      <c r="A35" s="46"/>
      <c r="B35" s="46" t="s">
        <v>109</v>
      </c>
      <c r="C35" s="48">
        <f>C16</f>
        <v>63.2</v>
      </c>
      <c r="D35" s="46" t="s">
        <v>110</v>
      </c>
      <c r="E35" s="48">
        <f>E20</f>
        <v>43.7</v>
      </c>
      <c r="F35" s="46" t="s">
        <v>117</v>
      </c>
      <c r="G35" s="48">
        <f>G10</f>
        <v>67.3</v>
      </c>
    </row>
    <row r="36" spans="1:7" ht="60" x14ac:dyDescent="0.25">
      <c r="A36" s="46"/>
      <c r="B36" s="46"/>
      <c r="C36" s="48"/>
      <c r="D36" s="46" t="s">
        <v>111</v>
      </c>
      <c r="E36" s="48">
        <f>E21+E27</f>
        <v>195.4</v>
      </c>
      <c r="F36" s="46" t="s">
        <v>118</v>
      </c>
      <c r="G36" s="48">
        <f>G25+G11</f>
        <v>4766.2</v>
      </c>
    </row>
    <row r="37" spans="1:7" x14ac:dyDescent="0.25">
      <c r="A37" s="46"/>
      <c r="B37" s="46"/>
      <c r="C37" s="48"/>
      <c r="D37" s="46" t="s">
        <v>98</v>
      </c>
      <c r="E37" s="48">
        <f>E6</f>
        <v>165.8</v>
      </c>
      <c r="F37" s="46" t="s">
        <v>121</v>
      </c>
      <c r="G37" s="48">
        <f>G12</f>
        <v>40.6</v>
      </c>
    </row>
    <row r="38" spans="1:7" ht="45" x14ac:dyDescent="0.25">
      <c r="A38" s="46"/>
      <c r="B38" s="46"/>
      <c r="C38" s="48"/>
      <c r="D38" s="46" t="s">
        <v>106</v>
      </c>
      <c r="E38" s="48">
        <f>E10</f>
        <v>14.9</v>
      </c>
      <c r="F38" s="46" t="s">
        <v>125</v>
      </c>
      <c r="G38" s="48">
        <f>G18+G27</f>
        <v>478.3</v>
      </c>
    </row>
    <row r="39" spans="1:7" ht="30" x14ac:dyDescent="0.25">
      <c r="A39" s="46"/>
      <c r="B39" s="46"/>
      <c r="C39" s="48"/>
      <c r="D39" s="46"/>
      <c r="E39" s="48"/>
      <c r="F39" s="46" t="s">
        <v>126</v>
      </c>
      <c r="G39" s="48">
        <f>G26</f>
        <v>4204.3999999999996</v>
      </c>
    </row>
    <row r="40" spans="1:7" ht="60" x14ac:dyDescent="0.25">
      <c r="A40" s="10"/>
      <c r="B40" s="10"/>
      <c r="C40" s="9"/>
      <c r="D40" s="9"/>
      <c r="E40" s="9"/>
      <c r="F40" s="10" t="s">
        <v>123</v>
      </c>
      <c r="G40" s="48">
        <f>G16</f>
        <v>787</v>
      </c>
    </row>
    <row r="41" spans="1:7" x14ac:dyDescent="0.25">
      <c r="A41" s="10"/>
      <c r="B41" s="10"/>
      <c r="C41" s="9"/>
      <c r="D41" s="9"/>
      <c r="E41" s="9"/>
      <c r="F41" s="47" t="s">
        <v>120</v>
      </c>
      <c r="G41" s="48">
        <f>G13</f>
        <v>19.399999999999999</v>
      </c>
    </row>
    <row r="42" spans="1:7" x14ac:dyDescent="0.25">
      <c r="A42" s="10"/>
      <c r="B42" s="10"/>
      <c r="C42" s="9"/>
      <c r="D42" s="9"/>
      <c r="E42" s="9"/>
      <c r="F42" s="10" t="s">
        <v>124</v>
      </c>
      <c r="G42" s="48">
        <f>G20</f>
        <v>101</v>
      </c>
    </row>
    <row r="43" spans="1:7" ht="30" x14ac:dyDescent="0.25">
      <c r="A43" s="10"/>
      <c r="B43" s="10"/>
      <c r="C43" s="9"/>
      <c r="D43" s="9"/>
      <c r="E43" s="9"/>
      <c r="F43" s="10" t="s">
        <v>122</v>
      </c>
      <c r="G43" s="48">
        <f>G17</f>
        <v>864.9</v>
      </c>
    </row>
    <row r="45" spans="1:7" x14ac:dyDescent="0.25">
      <c r="A45" s="51" t="s">
        <v>129</v>
      </c>
      <c r="B45" s="32" t="s">
        <v>14</v>
      </c>
      <c r="C45" s="37">
        <v>1423.77</v>
      </c>
      <c r="D45" s="33" t="s">
        <v>89</v>
      </c>
    </row>
    <row r="46" spans="1:7" x14ac:dyDescent="0.25">
      <c r="A46" s="32" t="s">
        <v>11</v>
      </c>
      <c r="B46" s="28" t="s">
        <v>12</v>
      </c>
      <c r="C46" s="37">
        <v>2641.2</v>
      </c>
      <c r="D46" s="33" t="s">
        <v>89</v>
      </c>
    </row>
    <row r="47" spans="1:7" x14ac:dyDescent="0.25">
      <c r="A47" s="32"/>
      <c r="B47" s="28" t="s">
        <v>28</v>
      </c>
      <c r="C47" s="37">
        <v>1801.68</v>
      </c>
      <c r="D47" s="33" t="s">
        <v>89</v>
      </c>
    </row>
  </sheetData>
  <autoFilter ref="B2:G39" xr:uid="{00000000-0009-0000-0000-000002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T57"/>
  <sheetViews>
    <sheetView workbookViewId="0">
      <selection activeCell="I18" sqref="I18:I20"/>
    </sheetView>
  </sheetViews>
  <sheetFormatPr defaultRowHeight="15" x14ac:dyDescent="0.25"/>
  <cols>
    <col min="2" max="2" width="21.5703125" customWidth="1"/>
    <col min="3" max="3" width="14.85546875" customWidth="1"/>
    <col min="4" max="4" width="17.140625" customWidth="1"/>
    <col min="10" max="10" width="13.140625" customWidth="1"/>
    <col min="11" max="11" width="22.42578125" customWidth="1"/>
    <col min="18" max="18" width="17.5703125" customWidth="1"/>
    <col min="19" max="19" width="12" customWidth="1"/>
    <col min="20" max="20" width="10.5703125" customWidth="1"/>
  </cols>
  <sheetData>
    <row r="2" spans="1:20" ht="15.75" thickBot="1" x14ac:dyDescent="0.3">
      <c r="K2" t="s">
        <v>91</v>
      </c>
      <c r="R2" t="s">
        <v>92</v>
      </c>
    </row>
    <row r="3" spans="1:20" x14ac:dyDescent="0.25">
      <c r="A3" s="7" t="s">
        <v>24</v>
      </c>
      <c r="J3" s="29" t="s">
        <v>90</v>
      </c>
      <c r="K3" s="30"/>
      <c r="L3" s="30"/>
      <c r="M3" s="31"/>
      <c r="Q3" s="29" t="s">
        <v>90</v>
      </c>
      <c r="R3" s="30"/>
      <c r="S3" s="30"/>
      <c r="T3" s="31"/>
    </row>
    <row r="4" spans="1:20" x14ac:dyDescent="0.25">
      <c r="A4" s="9"/>
      <c r="B4" s="9" t="s">
        <v>10</v>
      </c>
      <c r="C4" s="9"/>
      <c r="D4" s="9">
        <f>'расчет общий'!D42</f>
        <v>548.79780000000005</v>
      </c>
      <c r="J4" s="32"/>
      <c r="K4" s="28" t="s">
        <v>10</v>
      </c>
      <c r="L4" s="37">
        <f>D4+D21+D31+D13+D41</f>
        <v>15604.29</v>
      </c>
      <c r="M4" s="33" t="s">
        <v>88</v>
      </c>
      <c r="Q4" s="32"/>
      <c r="R4" s="28" t="s">
        <v>10</v>
      </c>
      <c r="S4" s="37">
        <f>L4*4</f>
        <v>62417.16</v>
      </c>
      <c r="T4" s="33" t="s">
        <v>88</v>
      </c>
    </row>
    <row r="5" spans="1:20" x14ac:dyDescent="0.25">
      <c r="A5" s="9"/>
      <c r="B5" s="9" t="s">
        <v>13</v>
      </c>
      <c r="C5" s="9"/>
      <c r="D5" s="9">
        <f>'расчет общий'!D43</f>
        <v>163.57</v>
      </c>
      <c r="J5" s="32"/>
      <c r="K5" s="28" t="s">
        <v>13</v>
      </c>
      <c r="L5" s="37">
        <f t="shared" ref="L5:L6" si="0">D5+D22+D32+D14+D42</f>
        <v>7091.63</v>
      </c>
      <c r="M5" s="33" t="s">
        <v>88</v>
      </c>
      <c r="Q5" s="32"/>
      <c r="R5" s="28" t="s">
        <v>13</v>
      </c>
      <c r="S5" s="37">
        <f t="shared" ref="S5:S10" si="1">L5*4</f>
        <v>28366.52</v>
      </c>
      <c r="T5" s="33" t="s">
        <v>88</v>
      </c>
    </row>
    <row r="6" spans="1:20" x14ac:dyDescent="0.25">
      <c r="A6" s="9"/>
      <c r="B6" s="9" t="s">
        <v>18</v>
      </c>
      <c r="C6" s="9"/>
      <c r="D6" s="9">
        <f>'расчет общий'!D44</f>
        <v>163.57</v>
      </c>
      <c r="J6" s="32"/>
      <c r="K6" s="28" t="s">
        <v>18</v>
      </c>
      <c r="L6" s="37">
        <f t="shared" si="0"/>
        <v>7143.31</v>
      </c>
      <c r="M6" s="33" t="s">
        <v>88</v>
      </c>
      <c r="Q6" s="32"/>
      <c r="R6" s="28" t="s">
        <v>18</v>
      </c>
      <c r="S6" s="37">
        <f t="shared" si="1"/>
        <v>28573.24</v>
      </c>
      <c r="T6" s="33" t="s">
        <v>88</v>
      </c>
    </row>
    <row r="7" spans="1:20" x14ac:dyDescent="0.25">
      <c r="A7" s="9" t="s">
        <v>11</v>
      </c>
      <c r="B7" s="9" t="s">
        <v>12</v>
      </c>
      <c r="C7" s="9">
        <f>'расчет общий'!C45</f>
        <v>20.7</v>
      </c>
      <c r="D7" s="9">
        <f>'расчет общий'!D45</f>
        <v>0</v>
      </c>
      <c r="J7" s="32" t="s">
        <v>11</v>
      </c>
      <c r="K7" s="28" t="s">
        <v>12</v>
      </c>
      <c r="L7" s="37">
        <f>C7+C16+C24+C34+C44</f>
        <v>2514.96</v>
      </c>
      <c r="M7" s="33" t="s">
        <v>89</v>
      </c>
      <c r="Q7" s="32" t="s">
        <v>11</v>
      </c>
      <c r="R7" s="28" t="s">
        <v>12</v>
      </c>
      <c r="S7" s="37">
        <f t="shared" si="1"/>
        <v>10059.84</v>
      </c>
      <c r="T7" s="33" t="s">
        <v>89</v>
      </c>
    </row>
    <row r="8" spans="1:20" x14ac:dyDescent="0.25">
      <c r="A8" s="9" t="s">
        <v>14</v>
      </c>
      <c r="B8" s="9" t="s">
        <v>13</v>
      </c>
      <c r="C8" s="9">
        <f>'расчет общий'!C46</f>
        <v>211.34</v>
      </c>
      <c r="D8" s="9">
        <f>'расчет общий'!D46</f>
        <v>0</v>
      </c>
      <c r="J8" s="32"/>
      <c r="K8" s="28" t="s">
        <v>28</v>
      </c>
      <c r="L8" s="37">
        <f>C17+C25+C35+C45</f>
        <v>1801.68</v>
      </c>
      <c r="M8" s="33" t="s">
        <v>89</v>
      </c>
      <c r="Q8" s="32"/>
      <c r="R8" s="28" t="s">
        <v>28</v>
      </c>
      <c r="S8" s="37">
        <f t="shared" si="1"/>
        <v>7206.72</v>
      </c>
      <c r="T8" s="33" t="s">
        <v>89</v>
      </c>
    </row>
    <row r="9" spans="1:20" ht="30" x14ac:dyDescent="0.25">
      <c r="A9" s="9"/>
      <c r="B9" s="10" t="s">
        <v>22</v>
      </c>
      <c r="C9" s="9">
        <f>'расчет общий'!C47</f>
        <v>224</v>
      </c>
      <c r="D9" s="9">
        <f>'расчет общий'!D47</f>
        <v>6.3</v>
      </c>
      <c r="J9" s="32" t="s">
        <v>14</v>
      </c>
      <c r="K9" s="28" t="s">
        <v>13</v>
      </c>
      <c r="L9" s="37">
        <f>C8+C26+C36</f>
        <v>1423.77</v>
      </c>
      <c r="M9" s="33" t="s">
        <v>89</v>
      </c>
      <c r="Q9" s="32" t="s">
        <v>14</v>
      </c>
      <c r="R9" s="28" t="s">
        <v>13</v>
      </c>
      <c r="S9" s="37">
        <f t="shared" si="1"/>
        <v>5695.08</v>
      </c>
      <c r="T9" s="33" t="s">
        <v>89</v>
      </c>
    </row>
    <row r="10" spans="1:20" ht="45.75" thickBot="1" x14ac:dyDescent="0.3">
      <c r="J10" s="34"/>
      <c r="K10" s="35" t="s">
        <v>22</v>
      </c>
      <c r="L10" s="37">
        <f>C27+C37+C9</f>
        <v>2846.4</v>
      </c>
      <c r="M10" s="36" t="s">
        <v>89</v>
      </c>
      <c r="Q10" s="34"/>
      <c r="R10" s="35" t="s">
        <v>22</v>
      </c>
      <c r="S10" s="37">
        <f t="shared" si="1"/>
        <v>11385.6</v>
      </c>
      <c r="T10" s="36" t="s">
        <v>89</v>
      </c>
    </row>
    <row r="12" spans="1:20" x14ac:dyDescent="0.25">
      <c r="A12" s="24" t="s">
        <v>84</v>
      </c>
      <c r="B12" s="24"/>
      <c r="C12" s="24"/>
      <c r="D12" s="24"/>
    </row>
    <row r="13" spans="1:20" x14ac:dyDescent="0.25">
      <c r="A13" s="23"/>
      <c r="B13" s="23" t="s">
        <v>10</v>
      </c>
      <c r="C13" s="23"/>
      <c r="D13" s="23">
        <f>'расчет общий'!J50</f>
        <v>1505.49</v>
      </c>
    </row>
    <row r="14" spans="1:20" x14ac:dyDescent="0.25">
      <c r="A14" s="9"/>
      <c r="B14" s="9" t="s">
        <v>13</v>
      </c>
      <c r="C14" s="9"/>
      <c r="D14" s="23">
        <f>'расчет общий'!J51</f>
        <v>701.2</v>
      </c>
    </row>
    <row r="15" spans="1:20" x14ac:dyDescent="0.25">
      <c r="A15" s="9"/>
      <c r="B15" s="9" t="s">
        <v>18</v>
      </c>
      <c r="C15" s="9"/>
      <c r="D15" s="23">
        <f>'расчет общий'!J52</f>
        <v>698</v>
      </c>
    </row>
    <row r="16" spans="1:20" x14ac:dyDescent="0.25">
      <c r="A16" s="9" t="s">
        <v>11</v>
      </c>
      <c r="B16" s="9" t="s">
        <v>12</v>
      </c>
      <c r="C16" s="23">
        <f>'расчет общий'!I53</f>
        <v>83.2</v>
      </c>
      <c r="D16" s="9"/>
    </row>
    <row r="17" spans="1:5" x14ac:dyDescent="0.25">
      <c r="A17" s="9"/>
      <c r="B17" s="9" t="s">
        <v>28</v>
      </c>
      <c r="C17" s="23">
        <f>'расчет общий'!I54</f>
        <v>132.84</v>
      </c>
      <c r="D17" s="9"/>
    </row>
    <row r="20" spans="1:5" x14ac:dyDescent="0.25">
      <c r="A20" s="4" t="s">
        <v>70</v>
      </c>
      <c r="B20" s="4"/>
      <c r="C20" s="4"/>
      <c r="D20" s="4"/>
    </row>
    <row r="21" spans="1:5" x14ac:dyDescent="0.25">
      <c r="A21" s="9"/>
      <c r="B21" s="9" t="s">
        <v>10</v>
      </c>
      <c r="C21" s="9"/>
      <c r="D21" s="9">
        <f>'расчет общий'!J34</f>
        <v>438.7722</v>
      </c>
    </row>
    <row r="22" spans="1:5" x14ac:dyDescent="0.25">
      <c r="A22" s="9"/>
      <c r="B22" s="9" t="s">
        <v>13</v>
      </c>
      <c r="C22" s="9"/>
      <c r="D22" s="9">
        <f>'расчет общий'!J35</f>
        <v>94.26</v>
      </c>
    </row>
    <row r="23" spans="1:5" x14ac:dyDescent="0.25">
      <c r="A23" s="9"/>
      <c r="B23" s="9" t="s">
        <v>18</v>
      </c>
      <c r="C23" s="9"/>
      <c r="D23" s="9">
        <f>'расчет общий'!J36</f>
        <v>103.06</v>
      </c>
    </row>
    <row r="24" spans="1:5" x14ac:dyDescent="0.25">
      <c r="A24" s="9" t="s">
        <v>11</v>
      </c>
      <c r="B24" s="9" t="s">
        <v>12</v>
      </c>
      <c r="C24" s="9">
        <f>'расчет общий'!I37</f>
        <v>68.42</v>
      </c>
      <c r="D24" s="9"/>
    </row>
    <row r="25" spans="1:5" x14ac:dyDescent="0.25">
      <c r="A25" s="9"/>
      <c r="B25" s="9" t="s">
        <v>28</v>
      </c>
      <c r="C25" s="9">
        <f>'расчет общий'!I38</f>
        <v>0</v>
      </c>
      <c r="D25" s="9"/>
    </row>
    <row r="26" spans="1:5" x14ac:dyDescent="0.25">
      <c r="A26" s="9" t="s">
        <v>14</v>
      </c>
      <c r="B26" s="9" t="s">
        <v>13</v>
      </c>
      <c r="C26" s="9">
        <f>'расчет общий'!I39</f>
        <v>78.957599999999999</v>
      </c>
      <c r="D26" s="9"/>
    </row>
    <row r="27" spans="1:5" ht="75" x14ac:dyDescent="0.25">
      <c r="A27" s="21" t="s">
        <v>72</v>
      </c>
      <c r="B27" s="21" t="s">
        <v>71</v>
      </c>
      <c r="C27" s="9">
        <f>'расчет общий'!I40</f>
        <v>114.4</v>
      </c>
      <c r="D27" s="22"/>
    </row>
    <row r="30" spans="1:5" x14ac:dyDescent="0.25">
      <c r="A30" s="4" t="s">
        <v>82</v>
      </c>
      <c r="B30" s="4"/>
      <c r="C30" s="4"/>
      <c r="D30" s="4"/>
    </row>
    <row r="31" spans="1:5" x14ac:dyDescent="0.25">
      <c r="A31" s="9"/>
      <c r="B31" s="9" t="s">
        <v>10</v>
      </c>
      <c r="C31" s="9"/>
      <c r="D31" s="9">
        <f>'расчет общий'!P30</f>
        <v>2021.9784</v>
      </c>
    </row>
    <row r="32" spans="1:5" x14ac:dyDescent="0.25">
      <c r="A32" s="9"/>
      <c r="B32" s="9" t="s">
        <v>13</v>
      </c>
      <c r="C32" s="9"/>
      <c r="D32" s="9">
        <f>'расчет общий'!P31</f>
        <v>2088.6</v>
      </c>
      <c r="E32" t="s">
        <v>87</v>
      </c>
    </row>
    <row r="33" spans="1:4" x14ac:dyDescent="0.25">
      <c r="A33" s="9"/>
      <c r="B33" s="9" t="s">
        <v>18</v>
      </c>
      <c r="C33" s="9"/>
      <c r="D33" s="9">
        <f>'расчет общий'!P32</f>
        <v>2134.6799999999998</v>
      </c>
    </row>
    <row r="34" spans="1:4" x14ac:dyDescent="0.25">
      <c r="A34" s="9" t="s">
        <v>11</v>
      </c>
      <c r="B34" s="9" t="s">
        <v>12</v>
      </c>
      <c r="C34" s="9">
        <f>'расчет общий'!O33</f>
        <v>0</v>
      </c>
      <c r="D34" s="9"/>
    </row>
    <row r="35" spans="1:4" x14ac:dyDescent="0.25">
      <c r="A35" s="9"/>
      <c r="B35" s="9" t="s">
        <v>28</v>
      </c>
      <c r="C35" s="9">
        <f>'расчет общий'!O34</f>
        <v>35.64</v>
      </c>
      <c r="D35" s="9"/>
    </row>
    <row r="36" spans="1:4" x14ac:dyDescent="0.25">
      <c r="A36" s="9" t="s">
        <v>14</v>
      </c>
      <c r="B36" s="9" t="s">
        <v>13</v>
      </c>
      <c r="C36" s="9">
        <f>'расчет общий'!O35</f>
        <v>1133.472</v>
      </c>
      <c r="D36" s="9"/>
    </row>
    <row r="37" spans="1:4" ht="75" x14ac:dyDescent="0.25">
      <c r="A37" s="21" t="s">
        <v>72</v>
      </c>
      <c r="B37" s="21" t="s">
        <v>71</v>
      </c>
      <c r="C37" s="9">
        <f>'расчет общий'!O36</f>
        <v>2508</v>
      </c>
      <c r="D37" s="22"/>
    </row>
    <row r="40" spans="1:4" x14ac:dyDescent="0.25">
      <c r="A40" s="24" t="s">
        <v>85</v>
      </c>
      <c r="B40" s="24"/>
      <c r="C40" s="24"/>
      <c r="D40" s="24"/>
    </row>
    <row r="41" spans="1:4" x14ac:dyDescent="0.25">
      <c r="A41" s="23"/>
      <c r="B41" s="23" t="s">
        <v>10</v>
      </c>
      <c r="C41" s="23"/>
      <c r="D41" s="23">
        <f>'расчет общий'!P46</f>
        <v>11089.248</v>
      </c>
    </row>
    <row r="42" spans="1:4" x14ac:dyDescent="0.25">
      <c r="A42" s="9"/>
      <c r="B42" s="9" t="s">
        <v>13</v>
      </c>
      <c r="C42" s="9"/>
      <c r="D42" s="23">
        <f>'расчет общий'!P47</f>
        <v>4044</v>
      </c>
    </row>
    <row r="43" spans="1:4" x14ac:dyDescent="0.25">
      <c r="A43" s="9"/>
      <c r="B43" s="9" t="s">
        <v>18</v>
      </c>
      <c r="C43" s="9"/>
      <c r="D43" s="23">
        <f>'расчет общий'!P48</f>
        <v>4044</v>
      </c>
    </row>
    <row r="44" spans="1:4" x14ac:dyDescent="0.25">
      <c r="A44" s="9" t="s">
        <v>11</v>
      </c>
      <c r="B44" s="9" t="s">
        <v>12</v>
      </c>
      <c r="C44" s="23">
        <f>'расчет общий'!O49</f>
        <v>2342.64</v>
      </c>
      <c r="D44" s="9"/>
    </row>
    <row r="45" spans="1:4" x14ac:dyDescent="0.25">
      <c r="A45" s="9"/>
      <c r="B45" s="9" t="s">
        <v>28</v>
      </c>
      <c r="C45" s="23">
        <f>'расчет общий'!O50</f>
        <v>1633.2</v>
      </c>
      <c r="D45" s="9"/>
    </row>
    <row r="50" spans="1:4" x14ac:dyDescent="0.25">
      <c r="A50" t="s">
        <v>86</v>
      </c>
    </row>
    <row r="51" spans="1:4" x14ac:dyDescent="0.25">
      <c r="A51" s="26"/>
      <c r="B51" s="26" t="s">
        <v>10</v>
      </c>
      <c r="C51" s="26">
        <f>D4+D21+D31</f>
        <v>3009.5484000000001</v>
      </c>
      <c r="D51" s="26" t="s">
        <v>88</v>
      </c>
    </row>
    <row r="52" spans="1:4" x14ac:dyDescent="0.25">
      <c r="A52" s="26"/>
      <c r="B52" s="26" t="s">
        <v>13</v>
      </c>
      <c r="C52" s="26">
        <f>D5+D22+D32</f>
        <v>2346.4299999999998</v>
      </c>
      <c r="D52" s="26" t="s">
        <v>88</v>
      </c>
    </row>
    <row r="53" spans="1:4" x14ac:dyDescent="0.25">
      <c r="A53" s="26"/>
      <c r="B53" s="26" t="s">
        <v>18</v>
      </c>
      <c r="C53" s="26">
        <f>D6+D23+D33</f>
        <v>2401.31</v>
      </c>
      <c r="D53" s="26" t="s">
        <v>88</v>
      </c>
    </row>
    <row r="54" spans="1:4" x14ac:dyDescent="0.25">
      <c r="A54" s="26" t="s">
        <v>11</v>
      </c>
      <c r="B54" s="26" t="s">
        <v>12</v>
      </c>
      <c r="C54" s="26">
        <f>C7+C24+C34</f>
        <v>89.12</v>
      </c>
      <c r="D54" s="26" t="s">
        <v>89</v>
      </c>
    </row>
    <row r="55" spans="1:4" x14ac:dyDescent="0.25">
      <c r="A55" s="26"/>
      <c r="B55" s="26" t="s">
        <v>28</v>
      </c>
      <c r="C55" s="26">
        <f>C25+C35</f>
        <v>35.64</v>
      </c>
      <c r="D55" s="26" t="s">
        <v>89</v>
      </c>
    </row>
    <row r="56" spans="1:4" x14ac:dyDescent="0.25">
      <c r="A56" s="26" t="s">
        <v>14</v>
      </c>
      <c r="B56" s="26" t="s">
        <v>13</v>
      </c>
      <c r="C56" s="26">
        <f>C8+C26+C36</f>
        <v>1423.7696000000001</v>
      </c>
      <c r="D56" s="26" t="s">
        <v>89</v>
      </c>
    </row>
    <row r="57" spans="1:4" ht="30" x14ac:dyDescent="0.25">
      <c r="A57" s="26"/>
      <c r="B57" s="27" t="s">
        <v>22</v>
      </c>
      <c r="C57" s="26">
        <f>C9+C37+C45</f>
        <v>4365.2</v>
      </c>
      <c r="D57" s="26" t="s">
        <v>89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5"/>
  <sheetViews>
    <sheetView topLeftCell="A10" zoomScale="55" zoomScaleNormal="55" workbookViewId="0">
      <selection activeCell="I18" sqref="I18:I20"/>
    </sheetView>
  </sheetViews>
  <sheetFormatPr defaultRowHeight="15" x14ac:dyDescent="0.25"/>
  <cols>
    <col min="1" max="1" width="23.85546875" customWidth="1"/>
    <col min="2" max="2" width="19.5703125" customWidth="1"/>
    <col min="3" max="3" width="15.42578125" customWidth="1"/>
    <col min="4" max="4" width="14.42578125" customWidth="1"/>
    <col min="7" max="7" width="18.140625" customWidth="1"/>
    <col min="8" max="8" width="17.5703125" customWidth="1"/>
    <col min="9" max="9" width="12.5703125" customWidth="1"/>
    <col min="10" max="10" width="22.42578125" customWidth="1"/>
    <col min="13" max="13" width="17.5703125" customWidth="1"/>
    <col min="14" max="14" width="16" customWidth="1"/>
    <col min="15" max="15" width="15.85546875" customWidth="1"/>
    <col min="16" max="16" width="11.42578125" customWidth="1"/>
    <col min="20" max="20" width="15.5703125" customWidth="1"/>
  </cols>
  <sheetData>
    <row r="1" spans="1:21" x14ac:dyDescent="0.25">
      <c r="A1" s="251" t="s">
        <v>25</v>
      </c>
      <c r="B1" s="251"/>
      <c r="C1" s="251"/>
      <c r="D1" s="251"/>
    </row>
    <row r="2" spans="1:21" ht="15.75" x14ac:dyDescent="0.25">
      <c r="A2" s="250" t="s">
        <v>9</v>
      </c>
      <c r="B2" s="250"/>
      <c r="C2" s="250"/>
      <c r="D2" s="250"/>
      <c r="G2" s="250" t="s">
        <v>65</v>
      </c>
      <c r="H2" s="250"/>
      <c r="I2" s="250"/>
      <c r="J2" s="250"/>
      <c r="M2" s="250" t="s">
        <v>77</v>
      </c>
      <c r="N2" s="250"/>
      <c r="O2" s="250"/>
      <c r="P2" s="250"/>
      <c r="S2" s="17" t="s">
        <v>29</v>
      </c>
      <c r="T2" s="18" t="s">
        <v>39</v>
      </c>
      <c r="U2" s="19" t="s">
        <v>40</v>
      </c>
    </row>
    <row r="3" spans="1:21" ht="45" x14ac:dyDescent="0.25">
      <c r="A3" s="2" t="s">
        <v>6</v>
      </c>
      <c r="B3" s="1" t="s">
        <v>7</v>
      </c>
      <c r="C3" s="1" t="s">
        <v>1</v>
      </c>
      <c r="D3" s="1" t="s">
        <v>0</v>
      </c>
      <c r="G3" s="2" t="s">
        <v>6</v>
      </c>
      <c r="H3" s="1" t="s">
        <v>7</v>
      </c>
      <c r="I3" s="1" t="s">
        <v>1</v>
      </c>
      <c r="J3" s="1" t="s">
        <v>0</v>
      </c>
      <c r="M3" s="2" t="s">
        <v>6</v>
      </c>
      <c r="N3" s="1" t="s">
        <v>7</v>
      </c>
      <c r="O3" s="1" t="s">
        <v>1</v>
      </c>
      <c r="P3" s="1" t="s">
        <v>0</v>
      </c>
      <c r="S3" s="11" t="s">
        <v>30</v>
      </c>
      <c r="T3" s="13" t="s">
        <v>41</v>
      </c>
      <c r="U3" s="12">
        <f>2.56*2.88</f>
        <v>7.3727999999999998</v>
      </c>
    </row>
    <row r="4" spans="1:21" x14ac:dyDescent="0.25">
      <c r="A4" s="5" t="s">
        <v>8</v>
      </c>
      <c r="B4" s="4" t="s">
        <v>10</v>
      </c>
      <c r="C4" s="4">
        <v>28.44</v>
      </c>
      <c r="D4" s="4">
        <f>C4*3.4-1*2.1</f>
        <v>94.596000000000004</v>
      </c>
      <c r="G4" s="5" t="s">
        <v>27</v>
      </c>
      <c r="H4" s="4" t="s">
        <v>10</v>
      </c>
      <c r="I4" s="4">
        <f>(28.74*6+28.93*2)*2</f>
        <v>460.6</v>
      </c>
      <c r="J4" s="4">
        <f>I4*3.75-U5*8*2-2*U6*2-U7*2-2*U8*2-2*U10*2-U11*2</f>
        <v>1505.49</v>
      </c>
      <c r="M4" s="5" t="s">
        <v>26</v>
      </c>
      <c r="N4" s="4" t="s">
        <v>10</v>
      </c>
      <c r="O4" s="4">
        <f>(53.16*2+58.3*2+43.31*2+49.5+61.94)*2*6-7*2*6</f>
        <v>4967.76</v>
      </c>
      <c r="P4" s="4">
        <f>O4*2.7-(0.8*2.1*8+17*0.9*2.1+8*1*2.1+U34*8+U32*8+U12*8)*2*6</f>
        <v>11089.248</v>
      </c>
      <c r="S4" s="11" t="s">
        <v>31</v>
      </c>
      <c r="T4" s="13" t="s">
        <v>42</v>
      </c>
      <c r="U4" s="12">
        <f>2.27*3.75</f>
        <v>8.5124999999999993</v>
      </c>
    </row>
    <row r="5" spans="1:21" x14ac:dyDescent="0.25">
      <c r="A5" s="4"/>
      <c r="B5" s="4" t="s">
        <v>13</v>
      </c>
      <c r="C5" s="4"/>
      <c r="D5" s="4">
        <v>39.840000000000003</v>
      </c>
      <c r="G5" s="4"/>
      <c r="H5" s="4" t="s">
        <v>13</v>
      </c>
      <c r="I5" s="4"/>
      <c r="J5" s="4">
        <f>44.2*6*2+41.9*2*2+0.2*8*2</f>
        <v>701.2</v>
      </c>
      <c r="M5" s="4"/>
      <c r="N5" s="4" t="s">
        <v>13</v>
      </c>
      <c r="O5" s="4"/>
      <c r="P5" s="4">
        <f>(44.8+42+65.7+44.8+39.8+48.3+39.5+48.3-36.2)*2*6</f>
        <v>4044</v>
      </c>
      <c r="S5" s="11" t="s">
        <v>32</v>
      </c>
      <c r="T5" s="13" t="s">
        <v>43</v>
      </c>
      <c r="U5" s="12">
        <f>2.27*2.88</f>
        <v>6.5376000000000003</v>
      </c>
    </row>
    <row r="6" spans="1:21" x14ac:dyDescent="0.25">
      <c r="A6" s="4"/>
      <c r="B6" s="4" t="s">
        <v>18</v>
      </c>
      <c r="C6" s="4"/>
      <c r="D6" s="4">
        <f>D5</f>
        <v>39.840000000000003</v>
      </c>
      <c r="G6" s="4"/>
      <c r="H6" s="4" t="s">
        <v>18</v>
      </c>
      <c r="I6" s="4"/>
      <c r="J6" s="4">
        <f>44.2*6*2+41.9*2*2</f>
        <v>698</v>
      </c>
      <c r="M6" s="4"/>
      <c r="N6" s="4" t="s">
        <v>18</v>
      </c>
      <c r="O6" s="4"/>
      <c r="P6" s="4">
        <f>P5</f>
        <v>4044</v>
      </c>
      <c r="S6" s="11" t="s">
        <v>33</v>
      </c>
      <c r="T6" s="13" t="s">
        <v>44</v>
      </c>
      <c r="U6" s="12">
        <f>2.67*2.88</f>
        <v>7.6896000000000004</v>
      </c>
    </row>
    <row r="7" spans="1:21" x14ac:dyDescent="0.25">
      <c r="A7" s="4" t="s">
        <v>11</v>
      </c>
      <c r="B7" s="4" t="s">
        <v>12</v>
      </c>
      <c r="C7" s="4">
        <f>2.1*2+1</f>
        <v>5.2</v>
      </c>
      <c r="D7" s="4"/>
      <c r="G7" s="4" t="s">
        <v>11</v>
      </c>
      <c r="H7" s="4" t="s">
        <v>12</v>
      </c>
      <c r="I7" s="4">
        <f>8*2*2.1*2+8*1*2</f>
        <v>83.2</v>
      </c>
      <c r="J7" s="4"/>
      <c r="M7" s="4" t="s">
        <v>11</v>
      </c>
      <c r="N7" s="4" t="s">
        <v>12</v>
      </c>
      <c r="O7" s="4">
        <f>(5*1+3*1+2.1*8*2+8*0.8+2.1*17+34*0.9+36*2.1+2.1*2+1.12)*2*6</f>
        <v>2342.64</v>
      </c>
      <c r="P7" s="4"/>
      <c r="S7" s="11" t="s">
        <v>34</v>
      </c>
      <c r="T7" s="13" t="s">
        <v>45</v>
      </c>
      <c r="U7" s="12">
        <f>2.46*2.88</f>
        <v>7.0848000000000004</v>
      </c>
    </row>
    <row r="8" spans="1:21" x14ac:dyDescent="0.25">
      <c r="A8" s="4" t="s">
        <v>14</v>
      </c>
      <c r="B8" s="4" t="s">
        <v>13</v>
      </c>
      <c r="C8" s="4">
        <f>C4-1</f>
        <v>27.44</v>
      </c>
      <c r="D8" s="4"/>
      <c r="G8" s="4"/>
      <c r="H8" s="4" t="s">
        <v>28</v>
      </c>
      <c r="I8" s="4">
        <f>(2.67*2+2.46+2.48*2+2*2.61+2.36+2.88*8*2)*2</f>
        <v>132.84</v>
      </c>
      <c r="J8" s="4"/>
      <c r="M8" s="4"/>
      <c r="N8" s="4" t="s">
        <v>28</v>
      </c>
      <c r="O8" s="4">
        <f>(8*2*3.68+8*2*2.8+8*1.63+8*1.68+1.37*2+1.6*2)*2*6</f>
        <v>1633.2</v>
      </c>
      <c r="P8" s="4"/>
      <c r="S8" s="11" t="s">
        <v>35</v>
      </c>
      <c r="T8" s="13" t="s">
        <v>46</v>
      </c>
      <c r="U8" s="12">
        <f>2.48*2.88</f>
        <v>7.1424000000000003</v>
      </c>
    </row>
    <row r="9" spans="1:21" ht="28.5" x14ac:dyDescent="0.25">
      <c r="A9" s="6" t="s">
        <v>15</v>
      </c>
      <c r="B9" s="4" t="s">
        <v>10</v>
      </c>
      <c r="C9" s="4">
        <v>9.8469999999999995</v>
      </c>
      <c r="D9" s="4">
        <f>C9*3.4-0.9*2.1</f>
        <v>31.5898</v>
      </c>
      <c r="G9" s="4" t="s">
        <v>14</v>
      </c>
      <c r="H9" s="4" t="s">
        <v>13</v>
      </c>
      <c r="I9" s="4">
        <f>(I4-8-8*2.27-2.67-2*2.48-2*2.61-2.36)*2</f>
        <v>838.46</v>
      </c>
      <c r="J9" s="4"/>
      <c r="M9" s="4" t="s">
        <v>14</v>
      </c>
      <c r="N9" s="4" t="s">
        <v>13</v>
      </c>
      <c r="O9" s="4">
        <f>O4-0.8*8*2*6-0.9*16*6*2*-1*6*8*2-1.5*2*6*8</f>
        <v>21335.759999999998</v>
      </c>
      <c r="P9" s="4"/>
      <c r="S9" s="11" t="s">
        <v>36</v>
      </c>
      <c r="T9" s="13" t="s">
        <v>47</v>
      </c>
      <c r="U9" s="12">
        <f>1.2*2.1</f>
        <v>2.52</v>
      </c>
    </row>
    <row r="10" spans="1:21" x14ac:dyDescent="0.25">
      <c r="A10" s="3"/>
      <c r="B10" s="4" t="s">
        <v>13</v>
      </c>
      <c r="C10" s="4"/>
      <c r="D10" s="4">
        <v>5.3</v>
      </c>
      <c r="G10" s="5" t="s">
        <v>66</v>
      </c>
      <c r="H10" s="4" t="s">
        <v>10</v>
      </c>
      <c r="I10" s="4">
        <f>9.3*8*2</f>
        <v>148.80000000000001</v>
      </c>
      <c r="J10" s="4">
        <f>I10*3.75-U22*8*2</f>
        <v>524.4</v>
      </c>
      <c r="M10" s="5" t="s">
        <v>76</v>
      </c>
      <c r="N10" s="4" t="s">
        <v>10</v>
      </c>
      <c r="O10" s="4">
        <f>8.68*8*2*6</f>
        <v>833.28</v>
      </c>
      <c r="P10" s="4">
        <f>O10*2.7-2.1*0.8*8</f>
        <v>2236.4160000000002</v>
      </c>
      <c r="S10" s="11" t="s">
        <v>37</v>
      </c>
      <c r="T10" s="13" t="s">
        <v>48</v>
      </c>
      <c r="U10" s="12">
        <f>2.61*2.88</f>
        <v>7.5167999999999999</v>
      </c>
    </row>
    <row r="11" spans="1:21" x14ac:dyDescent="0.25">
      <c r="A11" s="4"/>
      <c r="B11" s="4" t="s">
        <v>18</v>
      </c>
      <c r="C11" s="4"/>
      <c r="D11" s="4">
        <f>D10</f>
        <v>5.3</v>
      </c>
      <c r="G11" s="4"/>
      <c r="H11" s="4" t="s">
        <v>13</v>
      </c>
      <c r="I11" s="4"/>
      <c r="J11" s="4">
        <f>4.9*8*2</f>
        <v>78.400000000000006</v>
      </c>
      <c r="M11" s="4"/>
      <c r="N11" s="4" t="s">
        <v>13</v>
      </c>
      <c r="O11" s="4"/>
      <c r="P11" s="4">
        <f>(4.5+4.7+4.4+4.5+4.5+4.4+4.5+4.7)*2*6</f>
        <v>434.4</v>
      </c>
      <c r="S11" s="11" t="s">
        <v>38</v>
      </c>
      <c r="T11" s="13" t="s">
        <v>49</v>
      </c>
      <c r="U11" s="12">
        <f>2.36*2.88</f>
        <v>6.7968000000000002</v>
      </c>
    </row>
    <row r="12" spans="1:21" x14ac:dyDescent="0.25">
      <c r="A12" s="4" t="s">
        <v>11</v>
      </c>
      <c r="B12" s="4" t="s">
        <v>12</v>
      </c>
      <c r="C12" s="4">
        <f>0.9+2.1*2</f>
        <v>5.0999999999999996</v>
      </c>
      <c r="D12" s="4"/>
      <c r="G12" s="4"/>
      <c r="H12" s="4" t="s">
        <v>18</v>
      </c>
      <c r="I12" s="4"/>
      <c r="J12" s="4">
        <f>J11</f>
        <v>78.400000000000006</v>
      </c>
      <c r="M12" s="4"/>
      <c r="N12" s="4" t="s">
        <v>18</v>
      </c>
      <c r="O12" s="4"/>
      <c r="P12" s="4">
        <f>P11</f>
        <v>434.4</v>
      </c>
      <c r="S12" s="11" t="s">
        <v>74</v>
      </c>
      <c r="T12" s="13" t="s">
        <v>75</v>
      </c>
      <c r="U12" s="4">
        <f>3.68*2.8</f>
        <v>10.304</v>
      </c>
    </row>
    <row r="13" spans="1:21" x14ac:dyDescent="0.25">
      <c r="A13" s="4" t="s">
        <v>14</v>
      </c>
      <c r="B13" s="4" t="s">
        <v>13</v>
      </c>
      <c r="C13" s="4">
        <f>C9-0.81</f>
        <v>9.0370000000000008</v>
      </c>
      <c r="D13" s="4"/>
      <c r="G13" s="4" t="s">
        <v>14</v>
      </c>
      <c r="H13" s="4" t="s">
        <v>13</v>
      </c>
      <c r="I13" s="4">
        <f>I10-1*8*2</f>
        <v>132.80000000000001</v>
      </c>
      <c r="J13" s="4"/>
      <c r="M13" s="4" t="s">
        <v>14</v>
      </c>
      <c r="N13" s="4" t="s">
        <v>13</v>
      </c>
      <c r="O13" s="4">
        <f>(69.44-0.8*8)*2*6</f>
        <v>756.48</v>
      </c>
      <c r="P13" s="4"/>
    </row>
    <row r="14" spans="1:21" x14ac:dyDescent="0.25">
      <c r="A14" s="6" t="s">
        <v>16</v>
      </c>
      <c r="B14" s="4" t="s">
        <v>10</v>
      </c>
      <c r="C14" s="4">
        <f>11.3</f>
        <v>11.3</v>
      </c>
      <c r="D14" s="4">
        <f>C14*3.4-0.9*2.1</f>
        <v>36.53</v>
      </c>
      <c r="G14" s="5" t="s">
        <v>67</v>
      </c>
      <c r="H14" s="4" t="s">
        <v>10</v>
      </c>
      <c r="I14" s="4">
        <f>12.8*2</f>
        <v>25.6</v>
      </c>
      <c r="J14" s="4">
        <f>I14*3.75-(U4-U5)*2</f>
        <v>92.050200000000004</v>
      </c>
      <c r="M14" s="25" t="s">
        <v>79</v>
      </c>
      <c r="S14" s="17" t="s">
        <v>50</v>
      </c>
      <c r="T14" s="18" t="s">
        <v>39</v>
      </c>
      <c r="U14" s="19" t="s">
        <v>40</v>
      </c>
    </row>
    <row r="15" spans="1:21" x14ac:dyDescent="0.25">
      <c r="A15" s="3"/>
      <c r="B15" s="4" t="s">
        <v>13</v>
      </c>
      <c r="C15" s="4"/>
      <c r="D15" s="4">
        <f>7.3</f>
        <v>7.3</v>
      </c>
      <c r="G15" s="4"/>
      <c r="H15" s="4" t="s">
        <v>13</v>
      </c>
      <c r="I15" s="4"/>
      <c r="J15" s="4">
        <f>10.08*2</f>
        <v>20.16</v>
      </c>
      <c r="M15" s="25" t="s">
        <v>78</v>
      </c>
      <c r="S15" s="4">
        <v>1</v>
      </c>
      <c r="T15" s="14" t="s">
        <v>51</v>
      </c>
      <c r="U15" s="12">
        <f>1*2.1</f>
        <v>2.1</v>
      </c>
    </row>
    <row r="16" spans="1:21" x14ac:dyDescent="0.25">
      <c r="A16" s="4"/>
      <c r="B16" s="4" t="s">
        <v>18</v>
      </c>
      <c r="C16" s="4"/>
      <c r="D16" s="4">
        <f>D15</f>
        <v>7.3</v>
      </c>
      <c r="G16" s="4"/>
      <c r="H16" s="4" t="s">
        <v>18</v>
      </c>
      <c r="I16" s="4"/>
      <c r="J16" s="4">
        <f>J15</f>
        <v>20.16</v>
      </c>
      <c r="M16" s="5" t="s">
        <v>80</v>
      </c>
      <c r="N16" s="4" t="s">
        <v>10</v>
      </c>
      <c r="O16" s="4">
        <f>49.15*6*2</f>
        <v>589.79999999999995</v>
      </c>
      <c r="P16" s="4">
        <f>O16*2.7-(U25*8+U21+U27*2+1.1*2.1)*6</f>
        <v>1443.528</v>
      </c>
      <c r="S16" s="4">
        <v>2</v>
      </c>
      <c r="T16" s="14" t="s">
        <v>51</v>
      </c>
      <c r="U16" s="12">
        <f>1*2.1</f>
        <v>2.1</v>
      </c>
    </row>
    <row r="17" spans="1:21" x14ac:dyDescent="0.25">
      <c r="A17" s="4" t="s">
        <v>11</v>
      </c>
      <c r="B17" s="4" t="s">
        <v>12</v>
      </c>
      <c r="C17" s="4">
        <f>1+2.1*2</f>
        <v>5.2</v>
      </c>
      <c r="D17" s="4"/>
      <c r="G17" s="4" t="s">
        <v>11</v>
      </c>
      <c r="H17" s="4" t="s">
        <v>12</v>
      </c>
      <c r="I17" s="4">
        <f>(2.56+2.27+2.88*2+3.75*2)*2</f>
        <v>36.18</v>
      </c>
      <c r="J17" s="4"/>
      <c r="M17" s="4"/>
      <c r="N17" s="4" t="s">
        <v>13</v>
      </c>
      <c r="O17" s="4"/>
      <c r="P17" s="4">
        <f>49.15*6*2</f>
        <v>589.79999999999995</v>
      </c>
      <c r="S17" s="4">
        <v>3</v>
      </c>
      <c r="T17" s="14" t="s">
        <v>51</v>
      </c>
      <c r="U17" s="12">
        <f>1*2.1</f>
        <v>2.1</v>
      </c>
    </row>
    <row r="18" spans="1:21" x14ac:dyDescent="0.25">
      <c r="A18" s="4" t="s">
        <v>14</v>
      </c>
      <c r="B18" s="4" t="s">
        <v>13</v>
      </c>
      <c r="C18" s="4">
        <f>C14-1</f>
        <v>10.3</v>
      </c>
      <c r="D18" s="4"/>
      <c r="G18" s="4"/>
      <c r="H18" s="4" t="s">
        <v>28</v>
      </c>
      <c r="I18" s="4">
        <v>0</v>
      </c>
      <c r="J18" s="4"/>
      <c r="M18" s="4"/>
      <c r="N18" s="4" t="s">
        <v>18</v>
      </c>
      <c r="O18" s="4"/>
      <c r="P18" s="4">
        <f>P17</f>
        <v>589.79999999999995</v>
      </c>
      <c r="S18" s="4">
        <v>4</v>
      </c>
      <c r="T18" s="14" t="s">
        <v>51</v>
      </c>
      <c r="U18" s="12">
        <f>1*2.1</f>
        <v>2.1</v>
      </c>
    </row>
    <row r="19" spans="1:21" x14ac:dyDescent="0.25">
      <c r="A19" s="6" t="s">
        <v>17</v>
      </c>
      <c r="B19" s="4" t="s">
        <v>10</v>
      </c>
      <c r="C19" s="4">
        <v>20.16</v>
      </c>
      <c r="D19" s="4">
        <f>C19*3.4-1*2.1</f>
        <v>66.444000000000003</v>
      </c>
      <c r="G19" s="4" t="s">
        <v>14</v>
      </c>
      <c r="H19" s="4" t="s">
        <v>13</v>
      </c>
      <c r="I19" s="4">
        <f>I14-2.56*2.27*2</f>
        <v>13.977600000000001</v>
      </c>
      <c r="J19" s="4"/>
      <c r="M19" s="4" t="s">
        <v>11</v>
      </c>
      <c r="N19" s="4" t="s">
        <v>12</v>
      </c>
      <c r="O19" s="4"/>
      <c r="P19" s="4">
        <f>2*6*2*1.2+1.4*2*6*2+2.1*6*2*2+1.12*6*2</f>
        <v>126.24</v>
      </c>
      <c r="S19" s="4">
        <v>5</v>
      </c>
      <c r="T19" s="14" t="s">
        <v>52</v>
      </c>
      <c r="U19" s="12">
        <f>0.9*2.1</f>
        <v>1.89</v>
      </c>
    </row>
    <row r="20" spans="1:21" x14ac:dyDescent="0.25">
      <c r="A20" s="3"/>
      <c r="B20" s="4" t="s">
        <v>13</v>
      </c>
      <c r="C20" s="4"/>
      <c r="D20" s="4">
        <v>19.73</v>
      </c>
      <c r="G20" s="5" t="s">
        <v>68</v>
      </c>
      <c r="H20" s="4" t="s">
        <v>10</v>
      </c>
      <c r="I20" s="4">
        <f>23.64*2</f>
        <v>47.28</v>
      </c>
      <c r="J20" s="4">
        <f>I20*3.75-(U20-U4)*2</f>
        <v>189.62100000000001</v>
      </c>
      <c r="M20" s="4"/>
      <c r="N20" s="4" t="s">
        <v>28</v>
      </c>
      <c r="O20" s="4"/>
      <c r="P20" s="4"/>
      <c r="S20" s="4">
        <v>6</v>
      </c>
      <c r="T20" s="14" t="s">
        <v>53</v>
      </c>
      <c r="U20" s="12">
        <f>1.12*2.1</f>
        <v>2.3519999999999999</v>
      </c>
    </row>
    <row r="21" spans="1:21" x14ac:dyDescent="0.25">
      <c r="A21" s="4"/>
      <c r="B21" s="4" t="s">
        <v>18</v>
      </c>
      <c r="C21" s="4"/>
      <c r="D21" s="4">
        <f>D20</f>
        <v>19.73</v>
      </c>
      <c r="G21" s="4"/>
      <c r="H21" s="4" t="s">
        <v>13</v>
      </c>
      <c r="J21" s="4">
        <f>22.25*2</f>
        <v>44.5</v>
      </c>
      <c r="M21" s="4" t="s">
        <v>14</v>
      </c>
      <c r="N21" s="4" t="s">
        <v>13</v>
      </c>
      <c r="O21" s="4">
        <f>O16-8*1*6*2-2*6*1.2*2-2*6*1.12-1.1*6*2</f>
        <v>438.36</v>
      </c>
      <c r="P21" s="4"/>
      <c r="S21" s="4">
        <v>7</v>
      </c>
      <c r="T21" s="14" t="s">
        <v>53</v>
      </c>
      <c r="U21" s="12">
        <f>1.12*2.1</f>
        <v>2.3519999999999999</v>
      </c>
    </row>
    <row r="22" spans="1:21" ht="30" x14ac:dyDescent="0.25">
      <c r="A22" s="4" t="s">
        <v>11</v>
      </c>
      <c r="B22" s="4" t="s">
        <v>12</v>
      </c>
      <c r="C22" s="4">
        <f>1+2.1*2</f>
        <v>5.2</v>
      </c>
      <c r="D22" s="4"/>
      <c r="G22" s="4"/>
      <c r="H22" s="4" t="s">
        <v>18</v>
      </c>
      <c r="I22" s="4"/>
      <c r="J22" s="4">
        <f>J21</f>
        <v>44.5</v>
      </c>
      <c r="M22" s="20" t="s">
        <v>81</v>
      </c>
      <c r="N22" s="4" t="s">
        <v>10</v>
      </c>
      <c r="O22" s="4">
        <f>17.026*2*6</f>
        <v>204.31200000000001</v>
      </c>
      <c r="P22" s="4">
        <f>O22*2.7-(1.1*2.1-U21-U33)*2*6</f>
        <v>578.45039999999995</v>
      </c>
      <c r="S22" s="4">
        <v>8</v>
      </c>
      <c r="T22" s="14" t="s">
        <v>51</v>
      </c>
      <c r="U22" s="12">
        <f>1*2.1</f>
        <v>2.1</v>
      </c>
    </row>
    <row r="23" spans="1:21" x14ac:dyDescent="0.25">
      <c r="A23" s="4" t="s">
        <v>14</v>
      </c>
      <c r="B23" s="4" t="s">
        <v>13</v>
      </c>
      <c r="C23" s="4">
        <f>C19-1</f>
        <v>19.16</v>
      </c>
      <c r="D23" s="4"/>
      <c r="G23" s="4" t="s">
        <v>11</v>
      </c>
      <c r="H23" s="4" t="s">
        <v>12</v>
      </c>
      <c r="I23" s="4">
        <f>1.12*2+2.1*2*2</f>
        <v>10.64</v>
      </c>
      <c r="J23" s="4"/>
      <c r="M23" s="4"/>
      <c r="N23" s="4" t="s">
        <v>13</v>
      </c>
      <c r="O23" s="4"/>
      <c r="P23" s="4">
        <f>(96+28.9)*2*6</f>
        <v>1498.8</v>
      </c>
      <c r="S23" s="4">
        <v>9</v>
      </c>
      <c r="T23" s="14" t="s">
        <v>51</v>
      </c>
      <c r="U23" s="12">
        <f>1*2.1</f>
        <v>2.1</v>
      </c>
    </row>
    <row r="24" spans="1:21" x14ac:dyDescent="0.25">
      <c r="A24" s="6" t="s">
        <v>2</v>
      </c>
      <c r="B24" s="4" t="s">
        <v>10</v>
      </c>
      <c r="C24" s="4">
        <v>96.42</v>
      </c>
      <c r="D24" s="4">
        <f>C24*3.4-1*2.1*3-0.9*2.1</f>
        <v>319.63799999999998</v>
      </c>
      <c r="G24" s="4"/>
      <c r="H24" s="4" t="s">
        <v>28</v>
      </c>
      <c r="I24" s="4">
        <v>0</v>
      </c>
      <c r="J24" s="4"/>
      <c r="M24" s="4"/>
      <c r="N24" s="4" t="s">
        <v>18</v>
      </c>
      <c r="O24" s="4"/>
      <c r="P24" s="4">
        <f>3.2*2*1.2*6+P23</f>
        <v>1544.88</v>
      </c>
      <c r="S24" s="4">
        <v>10</v>
      </c>
      <c r="T24" s="14" t="s">
        <v>51</v>
      </c>
      <c r="U24" s="12">
        <f>1*2.1</f>
        <v>2.1</v>
      </c>
    </row>
    <row r="25" spans="1:21" x14ac:dyDescent="0.25">
      <c r="A25" s="3"/>
      <c r="B25" s="4" t="s">
        <v>13</v>
      </c>
      <c r="C25" s="4"/>
      <c r="D25" s="4">
        <v>91.4</v>
      </c>
      <c r="G25" s="4" t="s">
        <v>14</v>
      </c>
      <c r="H25" s="4" t="s">
        <v>13</v>
      </c>
      <c r="I25" s="4">
        <f>I20-(1.12-2.27)*2</f>
        <v>49.58</v>
      </c>
      <c r="J25" s="4"/>
      <c r="M25" s="4" t="s">
        <v>11</v>
      </c>
      <c r="N25" s="4" t="s">
        <v>12</v>
      </c>
      <c r="O25" s="4"/>
      <c r="P25" s="4"/>
      <c r="S25" s="4">
        <v>11</v>
      </c>
      <c r="T25" s="14" t="s">
        <v>51</v>
      </c>
      <c r="U25" s="12">
        <f>1*2.1</f>
        <v>2.1</v>
      </c>
    </row>
    <row r="26" spans="1:21" ht="30" x14ac:dyDescent="0.25">
      <c r="A26" s="4"/>
      <c r="B26" s="4" t="s">
        <v>18</v>
      </c>
      <c r="C26" s="4"/>
      <c r="D26" s="4">
        <f>D25</f>
        <v>91.4</v>
      </c>
      <c r="G26" s="20" t="s">
        <v>69</v>
      </c>
      <c r="H26" s="4" t="s">
        <v>10</v>
      </c>
      <c r="I26" s="4">
        <f>20.23*2</f>
        <v>40.46</v>
      </c>
      <c r="J26" s="4">
        <f>I26*3.75-(U20-1.2*2.1-U9)*2</f>
        <v>157.101</v>
      </c>
      <c r="M26" s="4"/>
      <c r="N26" s="4" t="s">
        <v>28</v>
      </c>
      <c r="O26" s="4">
        <f>6*2*1.37+6*2*1.6</f>
        <v>35.64</v>
      </c>
      <c r="P26" s="4"/>
      <c r="S26" s="4">
        <v>12</v>
      </c>
      <c r="T26" s="14" t="s">
        <v>47</v>
      </c>
      <c r="U26" s="12">
        <f>1.2*2.1</f>
        <v>2.52</v>
      </c>
    </row>
    <row r="27" spans="1:21" x14ac:dyDescent="0.25">
      <c r="A27" s="4" t="s">
        <v>11</v>
      </c>
      <c r="B27" s="4" t="s">
        <v>12</v>
      </c>
      <c r="C27" s="4"/>
      <c r="D27" s="4"/>
      <c r="G27" s="4"/>
      <c r="H27" s="4" t="s">
        <v>13</v>
      </c>
      <c r="I27" s="4"/>
      <c r="J27" s="4">
        <f>14.8*2</f>
        <v>29.6</v>
      </c>
      <c r="M27" s="4" t="s">
        <v>14</v>
      </c>
      <c r="N27" s="4" t="s">
        <v>13</v>
      </c>
      <c r="O27" s="4">
        <f>O22-1.1*6*2+42*2*6</f>
        <v>695.11199999999997</v>
      </c>
      <c r="P27" s="4"/>
      <c r="S27" s="4">
        <v>13</v>
      </c>
      <c r="T27" s="14" t="s">
        <v>54</v>
      </c>
      <c r="U27" s="12">
        <f>1.2*1.4</f>
        <v>1.68</v>
      </c>
    </row>
    <row r="28" spans="1:21" ht="45" x14ac:dyDescent="0.25">
      <c r="A28" s="4" t="s">
        <v>14</v>
      </c>
      <c r="B28" s="4" t="s">
        <v>13</v>
      </c>
      <c r="C28" s="4">
        <f>C24-1*3-0.9</f>
        <v>92.52</v>
      </c>
      <c r="D28" s="4"/>
      <c r="G28" s="4"/>
      <c r="H28" s="4" t="s">
        <v>18</v>
      </c>
      <c r="I28" s="4"/>
      <c r="J28" s="4">
        <f>19.2*2</f>
        <v>38.4</v>
      </c>
      <c r="M28" s="3" t="s">
        <v>3</v>
      </c>
      <c r="N28" s="8" t="s">
        <v>22</v>
      </c>
      <c r="O28" s="4">
        <f>209*6*2</f>
        <v>2508</v>
      </c>
      <c r="P28" s="4"/>
      <c r="S28" s="4">
        <v>14</v>
      </c>
      <c r="T28" s="14" t="s">
        <v>55</v>
      </c>
      <c r="U28" s="12">
        <f>0.8*1.2</f>
        <v>0.96</v>
      </c>
    </row>
    <row r="29" spans="1:21" ht="42.75" x14ac:dyDescent="0.25">
      <c r="A29" s="6" t="s">
        <v>19</v>
      </c>
      <c r="B29" s="4" t="s">
        <v>10</v>
      </c>
      <c r="C29" s="4">
        <f>29.34*3*2+2.12</f>
        <v>178.16</v>
      </c>
      <c r="D29" s="4">
        <f>C29*3.4</f>
        <v>605.74400000000003</v>
      </c>
      <c r="G29" s="4" t="s">
        <v>11</v>
      </c>
      <c r="H29" s="4" t="s">
        <v>12</v>
      </c>
      <c r="I29" s="4">
        <f>(1.2+2.1*2+1.2+2.1*2)*2</f>
        <v>21.6</v>
      </c>
      <c r="J29" s="4"/>
      <c r="M29" s="4" t="s">
        <v>82</v>
      </c>
      <c r="N29" s="4"/>
      <c r="O29" s="4"/>
      <c r="P29" s="4"/>
    </row>
    <row r="30" spans="1:21" x14ac:dyDescent="0.25">
      <c r="A30" s="3"/>
      <c r="B30" s="4" t="s">
        <v>13</v>
      </c>
      <c r="C30" s="4"/>
      <c r="D30" s="4">
        <f>45.13*3*2+24.5</f>
        <v>295.27999999999997</v>
      </c>
      <c r="G30" s="4"/>
      <c r="H30" s="4" t="s">
        <v>28</v>
      </c>
      <c r="I30" s="4">
        <v>0</v>
      </c>
      <c r="J30" s="4"/>
      <c r="M30" s="9"/>
      <c r="N30" s="9" t="s">
        <v>10</v>
      </c>
      <c r="O30" s="9"/>
      <c r="P30" s="9">
        <f>P16+P22</f>
        <v>2021.9784</v>
      </c>
      <c r="S30" s="17" t="s">
        <v>56</v>
      </c>
      <c r="T30" s="18" t="s">
        <v>39</v>
      </c>
      <c r="U30" s="19" t="s">
        <v>40</v>
      </c>
    </row>
    <row r="31" spans="1:21" x14ac:dyDescent="0.25">
      <c r="A31" s="4"/>
      <c r="B31" s="4" t="s">
        <v>18</v>
      </c>
      <c r="C31" s="4"/>
      <c r="D31" s="4">
        <f>D30</f>
        <v>295.27999999999997</v>
      </c>
      <c r="G31" s="4" t="s">
        <v>14</v>
      </c>
      <c r="H31" s="4" t="s">
        <v>13</v>
      </c>
      <c r="I31" s="4">
        <f>I26-(1.2*2-1.12+11.25)*2</f>
        <v>15.4</v>
      </c>
      <c r="J31" s="4"/>
      <c r="M31" s="9"/>
      <c r="N31" s="9" t="s">
        <v>13</v>
      </c>
      <c r="O31" s="9"/>
      <c r="P31" s="9">
        <f>P17+P23</f>
        <v>2088.6</v>
      </c>
      <c r="S31" s="15" t="s">
        <v>57</v>
      </c>
      <c r="T31" s="14" t="s">
        <v>61</v>
      </c>
      <c r="U31" s="16">
        <f>1.2*1.3</f>
        <v>1.56</v>
      </c>
    </row>
    <row r="32" spans="1:21" ht="45" x14ac:dyDescent="0.25">
      <c r="A32" s="4" t="s">
        <v>11</v>
      </c>
      <c r="B32" s="4" t="s">
        <v>12</v>
      </c>
      <c r="C32" s="4"/>
      <c r="D32" s="4"/>
      <c r="G32" s="3" t="s">
        <v>3</v>
      </c>
      <c r="H32" s="8" t="s">
        <v>22</v>
      </c>
      <c r="I32" s="4">
        <f>(27.5+29.7)*2</f>
        <v>114.4</v>
      </c>
      <c r="J32" s="4"/>
      <c r="M32" s="9"/>
      <c r="N32" s="9" t="s">
        <v>18</v>
      </c>
      <c r="O32" s="9"/>
      <c r="P32" s="9">
        <f>P18+P24</f>
        <v>2134.6799999999998</v>
      </c>
      <c r="S32" s="15" t="s">
        <v>58</v>
      </c>
      <c r="T32" s="14" t="s">
        <v>62</v>
      </c>
      <c r="U32" s="16">
        <f>1.63*1.8</f>
        <v>2.9340000000000002</v>
      </c>
    </row>
    <row r="33" spans="1:21" x14ac:dyDescent="0.25">
      <c r="A33" s="4" t="s">
        <v>14</v>
      </c>
      <c r="B33" s="4" t="s">
        <v>13</v>
      </c>
      <c r="C33" s="4">
        <f>C29</f>
        <v>178.16</v>
      </c>
      <c r="D33" s="4"/>
      <c r="G33" s="4" t="s">
        <v>70</v>
      </c>
      <c r="H33" s="4"/>
      <c r="I33" s="4"/>
      <c r="J33" s="4"/>
      <c r="M33" s="9" t="s">
        <v>11</v>
      </c>
      <c r="N33" s="9" t="s">
        <v>12</v>
      </c>
      <c r="O33" s="9">
        <f>O19+O25</f>
        <v>0</v>
      </c>
      <c r="P33" s="9"/>
      <c r="S33" s="15" t="s">
        <v>59</v>
      </c>
      <c r="T33" s="14" t="s">
        <v>63</v>
      </c>
      <c r="U33" s="16">
        <f>1.37*1.6</f>
        <v>2.1920000000000002</v>
      </c>
    </row>
    <row r="34" spans="1:21" ht="42.75" x14ac:dyDescent="0.25">
      <c r="A34" s="6" t="s">
        <v>20</v>
      </c>
      <c r="B34" s="4" t="s">
        <v>10</v>
      </c>
      <c r="C34" s="4">
        <f>29.34*4*2+2.12+C24-26.3</f>
        <v>306.95999999999998</v>
      </c>
      <c r="D34" s="4">
        <f>C34*3.4</f>
        <v>1043.664</v>
      </c>
      <c r="G34" s="9"/>
      <c r="H34" s="9" t="s">
        <v>10</v>
      </c>
      <c r="I34" s="9"/>
      <c r="J34" s="9">
        <f>J14+J20+J26</f>
        <v>438.7722</v>
      </c>
      <c r="M34" s="9"/>
      <c r="N34" s="9" t="s">
        <v>28</v>
      </c>
      <c r="O34" s="9">
        <f>O20+O26</f>
        <v>35.64</v>
      </c>
      <c r="P34" s="9"/>
      <c r="S34" s="15" t="s">
        <v>60</v>
      </c>
      <c r="T34" s="14" t="s">
        <v>64</v>
      </c>
      <c r="U34" s="16">
        <f>0.72*1.8+0.75*2.5</f>
        <v>3.1709999999999998</v>
      </c>
    </row>
    <row r="35" spans="1:21" x14ac:dyDescent="0.25">
      <c r="A35" s="3"/>
      <c r="B35" s="4" t="s">
        <v>13</v>
      </c>
      <c r="C35" s="4"/>
      <c r="D35" s="4">
        <f>45.13*4*2+24.5*2</f>
        <v>410.04</v>
      </c>
      <c r="G35" s="9"/>
      <c r="H35" s="9" t="s">
        <v>13</v>
      </c>
      <c r="I35" s="9"/>
      <c r="J35" s="9">
        <f>J15+J21+J27</f>
        <v>94.26</v>
      </c>
      <c r="M35" s="9" t="s">
        <v>14</v>
      </c>
      <c r="N35" s="9" t="s">
        <v>13</v>
      </c>
      <c r="O35" s="9">
        <f>O21+O27</f>
        <v>1133.472</v>
      </c>
      <c r="P35" s="9"/>
    </row>
    <row r="36" spans="1:21" ht="45" x14ac:dyDescent="0.25">
      <c r="A36" s="4"/>
      <c r="B36" s="4" t="s">
        <v>18</v>
      </c>
      <c r="C36" s="4"/>
      <c r="D36" s="4">
        <f>D35</f>
        <v>410.04</v>
      </c>
      <c r="G36" s="9"/>
      <c r="H36" s="9" t="s">
        <v>18</v>
      </c>
      <c r="I36" s="9"/>
      <c r="J36" s="9">
        <f>J16+J22+J28</f>
        <v>103.06</v>
      </c>
      <c r="M36" s="21" t="s">
        <v>72</v>
      </c>
      <c r="N36" s="21" t="s">
        <v>71</v>
      </c>
      <c r="O36" s="9">
        <f>O28</f>
        <v>2508</v>
      </c>
      <c r="P36" s="22"/>
    </row>
    <row r="37" spans="1:21" x14ac:dyDescent="0.25">
      <c r="A37" s="4" t="s">
        <v>11</v>
      </c>
      <c r="B37" s="4" t="s">
        <v>12</v>
      </c>
      <c r="C37" s="4"/>
      <c r="D37" s="4"/>
      <c r="G37" s="9" t="s">
        <v>11</v>
      </c>
      <c r="H37" s="9" t="s">
        <v>12</v>
      </c>
      <c r="I37" s="9">
        <f>I17+I23+I29</f>
        <v>68.42</v>
      </c>
      <c r="J37" s="9"/>
      <c r="M37" s="24" t="s">
        <v>83</v>
      </c>
      <c r="N37" s="24"/>
      <c r="O37" s="24"/>
      <c r="P37" s="24"/>
    </row>
    <row r="38" spans="1:21" x14ac:dyDescent="0.25">
      <c r="A38" s="4" t="s">
        <v>14</v>
      </c>
      <c r="B38" s="4" t="s">
        <v>13</v>
      </c>
      <c r="C38" s="4">
        <f>C34</f>
        <v>306.95999999999998</v>
      </c>
      <c r="D38" s="4"/>
      <c r="G38" s="9"/>
      <c r="H38" s="9" t="s">
        <v>28</v>
      </c>
      <c r="I38" s="9"/>
      <c r="J38" s="9"/>
      <c r="M38" s="23"/>
      <c r="N38" s="23" t="s">
        <v>10</v>
      </c>
      <c r="O38" s="23"/>
      <c r="P38" s="23">
        <f>P22+P10+P16+P4</f>
        <v>15347.642400000001</v>
      </c>
    </row>
    <row r="39" spans="1:21" ht="42.75" x14ac:dyDescent="0.25">
      <c r="A39" s="6" t="s">
        <v>4</v>
      </c>
      <c r="B39" s="4" t="s">
        <v>21</v>
      </c>
      <c r="C39" s="4">
        <f>(12.26+17.7)*2</f>
        <v>59.92</v>
      </c>
      <c r="D39" s="4">
        <f>3.15*2</f>
        <v>6.3</v>
      </c>
      <c r="G39" s="9" t="s">
        <v>14</v>
      </c>
      <c r="H39" s="9" t="s">
        <v>13</v>
      </c>
      <c r="I39" s="9">
        <f>I19+I25+I31</f>
        <v>78.957599999999999</v>
      </c>
      <c r="J39" s="9"/>
      <c r="M39" s="9"/>
      <c r="N39" s="9" t="s">
        <v>13</v>
      </c>
      <c r="O39" s="9"/>
      <c r="P39" s="23">
        <f t="shared" ref="P39:P40" si="0">P23+P11+P17+P5</f>
        <v>6567</v>
      </c>
    </row>
    <row r="40" spans="1:21" ht="45" x14ac:dyDescent="0.25">
      <c r="A40" s="3" t="s">
        <v>5</v>
      </c>
      <c r="B40" s="8" t="s">
        <v>22</v>
      </c>
      <c r="C40" s="4">
        <f>112*2</f>
        <v>224</v>
      </c>
      <c r="D40" s="4"/>
      <c r="G40" s="21" t="s">
        <v>72</v>
      </c>
      <c r="H40" s="21" t="s">
        <v>71</v>
      </c>
      <c r="I40" s="22">
        <f>I32</f>
        <v>114.4</v>
      </c>
      <c r="J40" s="22"/>
      <c r="M40" s="9"/>
      <c r="N40" s="9" t="s">
        <v>18</v>
      </c>
      <c r="O40" s="9"/>
      <c r="P40" s="23">
        <f t="shared" si="0"/>
        <v>6613.08</v>
      </c>
    </row>
    <row r="41" spans="1:21" x14ac:dyDescent="0.25">
      <c r="A41" s="7" t="s">
        <v>24</v>
      </c>
      <c r="G41" s="24" t="s">
        <v>73</v>
      </c>
      <c r="H41" s="24"/>
      <c r="I41" s="24"/>
      <c r="J41" s="24"/>
      <c r="M41" s="9" t="s">
        <v>11</v>
      </c>
      <c r="N41" s="9" t="s">
        <v>12</v>
      </c>
      <c r="O41" s="23">
        <f>O25+O19+O7</f>
        <v>2342.64</v>
      </c>
      <c r="P41" s="9"/>
    </row>
    <row r="42" spans="1:21" x14ac:dyDescent="0.25">
      <c r="A42" s="9"/>
      <c r="B42" s="9" t="s">
        <v>10</v>
      </c>
      <c r="C42" s="9"/>
      <c r="D42" s="9">
        <f>D4+D9+D14+D19+D24</f>
        <v>548.79780000000005</v>
      </c>
      <c r="G42" s="23"/>
      <c r="H42" s="23" t="s">
        <v>10</v>
      </c>
      <c r="I42" s="23"/>
      <c r="J42" s="23">
        <f>J26+J14+J10+J4+J20</f>
        <v>2468.6622000000002</v>
      </c>
      <c r="M42" s="9"/>
      <c r="N42" s="9" t="s">
        <v>28</v>
      </c>
      <c r="O42" s="23">
        <f t="shared" ref="O42:O44" si="1">O26+O14+O20+O8</f>
        <v>1668.84</v>
      </c>
      <c r="P42" s="9"/>
    </row>
    <row r="43" spans="1:21" x14ac:dyDescent="0.25">
      <c r="A43" s="9"/>
      <c r="B43" s="9" t="s">
        <v>13</v>
      </c>
      <c r="C43" s="9"/>
      <c r="D43" s="9">
        <f>D5+D10+D15+D20+D25</f>
        <v>163.57</v>
      </c>
      <c r="G43" s="9"/>
      <c r="H43" s="9" t="s">
        <v>13</v>
      </c>
      <c r="I43" s="9"/>
      <c r="J43" s="23">
        <f>J27+J15+J11+J5+J21</f>
        <v>873.86</v>
      </c>
      <c r="M43" s="9" t="s">
        <v>14</v>
      </c>
      <c r="N43" s="9" t="s">
        <v>13</v>
      </c>
      <c r="O43" s="23">
        <f>O27+O15+O21+O9</f>
        <v>22469.232</v>
      </c>
      <c r="P43" s="9"/>
    </row>
    <row r="44" spans="1:21" ht="45" x14ac:dyDescent="0.25">
      <c r="A44" s="9"/>
      <c r="B44" s="9" t="s">
        <v>18</v>
      </c>
      <c r="C44" s="9"/>
      <c r="D44" s="9">
        <f>D43</f>
        <v>163.57</v>
      </c>
      <c r="G44" s="9"/>
      <c r="H44" s="9" t="s">
        <v>18</v>
      </c>
      <c r="I44" s="9"/>
      <c r="J44" s="23">
        <f>J28+J16+J12+J6+J22</f>
        <v>879.46</v>
      </c>
      <c r="M44" s="10" t="s">
        <v>72</v>
      </c>
      <c r="N44" s="10" t="s">
        <v>71</v>
      </c>
      <c r="O44" s="23">
        <f t="shared" si="1"/>
        <v>4135.3919999999998</v>
      </c>
      <c r="P44" s="9"/>
    </row>
    <row r="45" spans="1:21" x14ac:dyDescent="0.25">
      <c r="A45" s="9" t="s">
        <v>11</v>
      </c>
      <c r="B45" s="9" t="s">
        <v>12</v>
      </c>
      <c r="C45" s="9">
        <f>C22+C17+C12+C7</f>
        <v>20.7</v>
      </c>
      <c r="D45" s="9"/>
      <c r="G45" s="9" t="s">
        <v>11</v>
      </c>
      <c r="H45" s="9" t="s">
        <v>12</v>
      </c>
      <c r="I45" s="23">
        <f>I29+I17+I13+I7+I23</f>
        <v>284.42</v>
      </c>
      <c r="J45" s="9"/>
      <c r="M45" s="24" t="s">
        <v>85</v>
      </c>
      <c r="N45" s="24"/>
      <c r="O45" s="24"/>
      <c r="P45" s="24"/>
    </row>
    <row r="46" spans="1:21" x14ac:dyDescent="0.25">
      <c r="A46" s="9" t="s">
        <v>14</v>
      </c>
      <c r="B46" s="9" t="s">
        <v>13</v>
      </c>
      <c r="C46" s="9">
        <f>C28+C19+C14+C8+C39</f>
        <v>211.34</v>
      </c>
      <c r="D46" s="9"/>
      <c r="G46" s="9"/>
      <c r="H46" s="9" t="s">
        <v>28</v>
      </c>
      <c r="I46" s="23">
        <f>I30+I18+I14+I8+I24</f>
        <v>158.44</v>
      </c>
      <c r="J46" s="9"/>
      <c r="M46" s="23"/>
      <c r="N46" s="23" t="s">
        <v>10</v>
      </c>
      <c r="O46" s="23"/>
      <c r="P46" s="23">
        <f>P4</f>
        <v>11089.248</v>
      </c>
    </row>
    <row r="47" spans="1:21" ht="30" x14ac:dyDescent="0.25">
      <c r="A47" s="9"/>
      <c r="B47" s="10" t="s">
        <v>22</v>
      </c>
      <c r="C47" s="9">
        <f>C40</f>
        <v>224</v>
      </c>
      <c r="D47" s="9">
        <f>D39</f>
        <v>6.3</v>
      </c>
      <c r="G47" s="9" t="s">
        <v>14</v>
      </c>
      <c r="H47" s="9" t="s">
        <v>13</v>
      </c>
      <c r="I47" s="23">
        <f>I31+I19+I15+I9+I25</f>
        <v>917.41759999999999</v>
      </c>
      <c r="J47" s="9"/>
      <c r="M47" s="9"/>
      <c r="N47" s="9" t="s">
        <v>13</v>
      </c>
      <c r="O47" s="9"/>
      <c r="P47" s="23">
        <f t="shared" ref="O47:P49" si="2">P5</f>
        <v>4044</v>
      </c>
    </row>
    <row r="48" spans="1:21" ht="45" x14ac:dyDescent="0.25">
      <c r="A48" s="7" t="s">
        <v>23</v>
      </c>
      <c r="G48" s="10" t="s">
        <v>72</v>
      </c>
      <c r="H48" s="10" t="s">
        <v>71</v>
      </c>
      <c r="I48" s="23">
        <f>I32</f>
        <v>114.4</v>
      </c>
      <c r="J48" s="9"/>
      <c r="M48" s="9"/>
      <c r="N48" s="9" t="s">
        <v>18</v>
      </c>
      <c r="O48" s="9"/>
      <c r="P48" s="23">
        <f t="shared" si="2"/>
        <v>4044</v>
      </c>
    </row>
    <row r="49" spans="1:16" x14ac:dyDescent="0.25">
      <c r="A49" s="9"/>
      <c r="B49" s="9" t="s">
        <v>10</v>
      </c>
      <c r="C49" s="9"/>
      <c r="D49" s="9">
        <f>D34+D29+D24+D19+D14+D9+D4</f>
        <v>2198.2058000000002</v>
      </c>
      <c r="G49" s="24" t="s">
        <v>84</v>
      </c>
      <c r="H49" s="24"/>
      <c r="I49" s="24"/>
      <c r="J49" s="24"/>
      <c r="M49" s="9" t="s">
        <v>11</v>
      </c>
      <c r="N49" s="9" t="s">
        <v>12</v>
      </c>
      <c r="O49" s="23">
        <f t="shared" si="2"/>
        <v>2342.64</v>
      </c>
      <c r="P49" s="9"/>
    </row>
    <row r="50" spans="1:16" x14ac:dyDescent="0.25">
      <c r="A50" s="9"/>
      <c r="B50" s="9" t="s">
        <v>13</v>
      </c>
      <c r="C50" s="9"/>
      <c r="D50" s="9">
        <f>D35+D30+D25+D20+D15+D10+D5</f>
        <v>868.89</v>
      </c>
      <c r="G50" s="23"/>
      <c r="H50" s="23" t="s">
        <v>10</v>
      </c>
      <c r="I50" s="23"/>
      <c r="J50" s="23">
        <f>J4</f>
        <v>1505.49</v>
      </c>
      <c r="M50" s="9"/>
      <c r="N50" s="9" t="s">
        <v>28</v>
      </c>
      <c r="O50" s="23">
        <f t="shared" ref="O50" si="3">O8</f>
        <v>1633.2</v>
      </c>
      <c r="P50" s="9"/>
    </row>
    <row r="51" spans="1:16" x14ac:dyDescent="0.25">
      <c r="A51" s="9"/>
      <c r="B51" s="9" t="s">
        <v>18</v>
      </c>
      <c r="C51" s="9"/>
      <c r="D51" s="9">
        <f>D36+D31+D26+D21+D16+D11+D6</f>
        <v>868.89</v>
      </c>
      <c r="G51" s="9"/>
      <c r="H51" s="9" t="s">
        <v>13</v>
      </c>
      <c r="I51" s="9"/>
      <c r="J51" s="23">
        <f t="shared" ref="J51:J52" si="4">J5</f>
        <v>701.2</v>
      </c>
      <c r="M51" s="9" t="s">
        <v>14</v>
      </c>
      <c r="N51" s="9" t="s">
        <v>13</v>
      </c>
      <c r="O51" s="23">
        <f t="shared" ref="O51" si="5">O9</f>
        <v>21335.759999999998</v>
      </c>
      <c r="P51" s="9"/>
    </row>
    <row r="52" spans="1:16" x14ac:dyDescent="0.25">
      <c r="A52" s="9" t="s">
        <v>11</v>
      </c>
      <c r="B52" s="9" t="s">
        <v>12</v>
      </c>
      <c r="C52" s="9">
        <f>C22+C17+C12+C7</f>
        <v>20.7</v>
      </c>
      <c r="D52" s="9"/>
      <c r="G52" s="9"/>
      <c r="H52" s="9" t="s">
        <v>18</v>
      </c>
      <c r="I52" s="9"/>
      <c r="J52" s="23">
        <f t="shared" si="4"/>
        <v>698</v>
      </c>
    </row>
    <row r="53" spans="1:16" x14ac:dyDescent="0.25">
      <c r="A53" s="9" t="s">
        <v>14</v>
      </c>
      <c r="B53" s="9" t="s">
        <v>13</v>
      </c>
      <c r="C53" s="9">
        <f>C38+C33+C28+C23+C18+C13+C8+C39</f>
        <v>703.49699999999996</v>
      </c>
      <c r="D53" s="9"/>
      <c r="G53" s="9" t="s">
        <v>11</v>
      </c>
      <c r="H53" s="9" t="s">
        <v>12</v>
      </c>
      <c r="I53" s="23">
        <f t="shared" ref="I53:I55" si="6">I7</f>
        <v>83.2</v>
      </c>
      <c r="J53" s="9"/>
    </row>
    <row r="54" spans="1:16" ht="30" x14ac:dyDescent="0.25">
      <c r="A54" s="9"/>
      <c r="B54" s="10" t="s">
        <v>22</v>
      </c>
      <c r="C54" s="9">
        <f>C40</f>
        <v>224</v>
      </c>
      <c r="D54" s="9">
        <f>D39</f>
        <v>6.3</v>
      </c>
      <c r="G54" s="9"/>
      <c r="H54" s="9" t="s">
        <v>28</v>
      </c>
      <c r="I54" s="23">
        <f t="shared" si="6"/>
        <v>132.84</v>
      </c>
      <c r="J54" s="9"/>
    </row>
    <row r="55" spans="1:16" x14ac:dyDescent="0.25">
      <c r="G55" s="9" t="s">
        <v>14</v>
      </c>
      <c r="H55" s="9" t="s">
        <v>13</v>
      </c>
      <c r="I55" s="23">
        <f t="shared" si="6"/>
        <v>838.46</v>
      </c>
      <c r="J55" s="9"/>
    </row>
  </sheetData>
  <autoFilter ref="B1:B54" xr:uid="{00000000-0009-0000-0000-000004000000}"/>
  <mergeCells count="4">
    <mergeCell ref="A2:D2"/>
    <mergeCell ref="A1:D1"/>
    <mergeCell ref="G2:J2"/>
    <mergeCell ref="M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Фасад СОШ 18468</vt:lpstr>
      <vt:lpstr>по проекту общее</vt:lpstr>
      <vt:lpstr>В работу</vt:lpstr>
      <vt:lpstr>расчет общий</vt:lpstr>
      <vt:lpstr>'Фасад СОШ 18468'!Область_печати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vbit</dc:creator>
  <cp:lastModifiedBy>Ризван Светлана Анатольевна</cp:lastModifiedBy>
  <cp:lastPrinted>2026-07-23T08:58:14Z</cp:lastPrinted>
  <dcterms:created xsi:type="dcterms:W3CDTF">2019-07-26T05:23:41Z</dcterms:created>
  <dcterms:modified xsi:type="dcterms:W3CDTF">2026-07-27T10:02:44Z</dcterms:modified>
</cp:coreProperties>
</file>