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07. Тендерный отдел\Тендеры\История\История - 3\МКД\Гидроизоляция\ГИ Литер 6 4496-СМР-Т\на рассылку\"/>
    </mc:Choice>
  </mc:AlternateContent>
  <xr:revisionPtr revIDLastSave="0" documentId="13_ncr:1_{4AFD69B3-9578-4CEF-BB06-0470EDC3EF85}" xr6:coauthVersionLast="47" xr6:coauthVersionMax="47" xr10:uidLastSave="{00000000-0000-0000-0000-000000000000}"/>
  <bookViews>
    <workbookView xWindow="-108" yWindow="-108" windowWidth="30936" windowHeight="16776" tabRatio="500" activeTab="1" xr2:uid="{00000000-000D-0000-FFFF-FFFF00000000}"/>
  </bookViews>
  <sheets>
    <sheet name="ВДЦ" sheetId="1" r:id="rId1"/>
    <sheet name="Лист2" sheetId="4" r:id="rId2"/>
    <sheet name="смета с расчетом и формулами " sheetId="2" state="hidden" r:id="rId3"/>
    <sheet name="Лист1" sheetId="3" state="hidden" r:id="rId4"/>
  </sheets>
  <definedNames>
    <definedName name="_xlnm._FilterDatabase" localSheetId="0" hidden="1">ВДЦ!$A$7:$ADO$45</definedName>
    <definedName name="_xlnm._FilterDatabase" localSheetId="2">'смета с расчетом и формулами '!$A$16:$F$214</definedName>
    <definedName name="Constr" localSheetId="0">ВДЦ!#REF!</definedName>
    <definedName name="Constr" localSheetId="2">'смета с расчетом и формулами '!#REF!</definedName>
    <definedName name="FOT" localSheetId="0">ВДЦ!#REF!</definedName>
    <definedName name="FOT" localSheetId="2">'смета с расчетом и формулами '!#REF!</definedName>
    <definedName name="Ind" localSheetId="0">ВДЦ!#REF!</definedName>
    <definedName name="Ind" localSheetId="2">'смета с расчетом и формулами '!#REF!</definedName>
    <definedName name="Obj" localSheetId="0">ВДЦ!#REF!</definedName>
    <definedName name="Obj" localSheetId="2">'смета с расчетом и формулами '!#REF!</definedName>
    <definedName name="Obosn" localSheetId="0">ВДЦ!#REF!</definedName>
    <definedName name="Obosn" localSheetId="2">'смета с расчетом и формулами '!#REF!</definedName>
    <definedName name="Print_Area_0_0" localSheetId="0">ВДЦ!$A$4:$L$45</definedName>
    <definedName name="Print_Area_0_0_0" localSheetId="0">ВДЦ!$A$4:$L$45</definedName>
    <definedName name="Print_Area_0_0_0_0" localSheetId="0">ВДЦ!$A$4:$L$45</definedName>
    <definedName name="Print_Titles" localSheetId="0">ВДЦ!$8:$8</definedName>
    <definedName name="Print_Titles" localSheetId="2">'смета с расчетом и формулами '!$20:$20</definedName>
    <definedName name="Print_Titles_0" localSheetId="0">ВДЦ!$8:$8</definedName>
    <definedName name="Print_Titles_0" localSheetId="2">'смета с расчетом и формулами '!$20:$20</definedName>
    <definedName name="Print_Titles_0_0" localSheetId="0">ВДЦ!$8:$8</definedName>
    <definedName name="Print_Titles_0_0" localSheetId="2">'смета с расчетом и формулами '!$20:$20</definedName>
    <definedName name="Print_Titles_0_0_0" localSheetId="0">ВДЦ!$8:$8</definedName>
    <definedName name="Print_Titles_0_0_0" localSheetId="2">'смета с расчетом и формулами '!$20:$20</definedName>
    <definedName name="Print_Titles_0_0_0_0" localSheetId="0">ВДЦ!$8:$8</definedName>
    <definedName name="Print_Titles_0_0_0_0" localSheetId="2">'смета с расчетом и формулами '!$20:$20</definedName>
    <definedName name="Print_Titles_0_0_0_0_0" localSheetId="0">ВДЦ!$8:$8</definedName>
    <definedName name="Print_Titles_0_0_0_0_0" localSheetId="2">'смета с расчетом и формулами '!$20:$20</definedName>
    <definedName name="Print_Titles_0_0_0_0_0_0" localSheetId="0">ВДЦ!$8:$8</definedName>
    <definedName name="Print_Titles_0_0_0_0_0_0" localSheetId="2">'смета с расчетом и формулами '!$20:$20</definedName>
    <definedName name="Print_Titles_0_0_0_0_0_0_0" localSheetId="0">ВДЦ!$8:$8</definedName>
    <definedName name="Print_Titles_0_0_0_0_0_0_0" localSheetId="2">'смета с расчетом и формулами '!$20:$20</definedName>
    <definedName name="Print_Titles_0_0_0_0_0_0_0_0" localSheetId="0">ВДЦ!$8:$8</definedName>
    <definedName name="Print_Titles_0_0_0_0_0_0_0_0" localSheetId="2">'смета с расчетом и формулами '!$20:$20</definedName>
    <definedName name="Print_Titles_0_0_0_0_0_0_0_0_0" localSheetId="0">ВДЦ!$8:$8</definedName>
    <definedName name="Print_Titles_0_0_0_0_0_0_0_0_0" localSheetId="2">'смета с расчетом и формулами '!$20:$20</definedName>
    <definedName name="Print_Titles_0_0_0_0_0_0_0_0_0_0" localSheetId="0">ВДЦ!$8:$8</definedName>
    <definedName name="Print_Titles_0_0_0_0_0_0_0_0_0_0" localSheetId="2">'смета с расчетом и формулами '!$20:$20</definedName>
    <definedName name="Print_Titles_0_0_0_0_0_0_0_0_0_0_0" localSheetId="0">ВДЦ!$8:$8</definedName>
    <definedName name="Print_Titles_0_0_0_0_0_0_0_0_0_0_0" localSheetId="2">'смета с расчетом и формулами '!$20:$20</definedName>
    <definedName name="Print_Titles_0_0_0_0_0_0_0_0_0_0_0_0" localSheetId="0">ВДЦ!$8:$8</definedName>
    <definedName name="Print_Titles_0_0_0_0_0_0_0_0_0_0_0_0" localSheetId="2">'смета с расчетом и формулами '!$20:$20</definedName>
    <definedName name="Print_Titles_0_0_0_0_0_0_0_0_0_0_0_0_0" localSheetId="0">ВДЦ!$8:$8</definedName>
    <definedName name="Print_Titles_0_0_0_0_0_0_0_0_0_0_0_0_0" localSheetId="2">'смета с расчетом и формулами '!$20:$20</definedName>
    <definedName name="Print_Titles_0_0_0_0_0_0_0_0_0_0_0_0_0_0" localSheetId="0">ВДЦ!$8:$8</definedName>
    <definedName name="Print_Titles_0_0_0_0_0_0_0_0_0_0_0_0_0_0" localSheetId="2">'смета с расчетом и формулами '!$20:$20</definedName>
    <definedName name="Print_Titles_0_0_0_0_0_0_0_0_0_0_0_0_0_0_0" localSheetId="0">ВДЦ!$8:$8</definedName>
    <definedName name="Print_Titles_0_0_0_0_0_0_0_0_0_0_0_0_0_0_0" localSheetId="2">'смета с расчетом и формулами '!$20:$20</definedName>
    <definedName name="Print_Titles_0_0_0_0_0_0_0_0_0_0_0_0_0_0_0_0" localSheetId="0">ВДЦ!$8:$8</definedName>
    <definedName name="Print_Titles_0_0_0_0_0_0_0_0_0_0_0_0_0_0_0_0" localSheetId="2">'смета с расчетом и формулами '!$20:$20</definedName>
    <definedName name="Print_Titles_0_0_0_0_0_0_0_0_0_0_0_0_0_0_0_0_0" localSheetId="0">ВДЦ!$8:$8</definedName>
    <definedName name="Print_Titles_0_0_0_0_0_0_0_0_0_0_0_0_0_0_0_0_0" localSheetId="2">'смета с расчетом и формулами '!$20:$20</definedName>
    <definedName name="SmPr" localSheetId="0">ВДЦ!#REF!</definedName>
    <definedName name="SmPr" localSheetId="2">'смета с расчетом и формулами '!#REF!</definedName>
    <definedName name="_xlnm.Print_Titles" localSheetId="0">ВДЦ!$8:$8</definedName>
    <definedName name="_xlnm.Print_Titles" localSheetId="2">'смета с расчетом и формулами '!$20:$20</definedName>
    <definedName name="_xlnm.Print_Area" localSheetId="0">ВДЦ!$A$1:$Q$92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57" i="4" l="1"/>
  <c r="M57" i="4" s="1"/>
  <c r="J57" i="4"/>
  <c r="O56" i="4"/>
  <c r="M56" i="4" s="1"/>
  <c r="J56" i="4"/>
  <c r="O54" i="4"/>
  <c r="J54" i="4"/>
  <c r="O51" i="4"/>
  <c r="M51" i="4"/>
  <c r="J51" i="4"/>
  <c r="O50" i="4"/>
  <c r="M50" i="4" s="1"/>
  <c r="J50" i="4"/>
  <c r="O48" i="4"/>
  <c r="M48" i="4" s="1"/>
  <c r="J48" i="4"/>
  <c r="O47" i="4"/>
  <c r="M47" i="4" s="1"/>
  <c r="J47" i="4"/>
  <c r="O45" i="4"/>
  <c r="M45" i="4" s="1"/>
  <c r="J45" i="4"/>
  <c r="O44" i="4"/>
  <c r="M44" i="4" s="1"/>
  <c r="J44" i="4"/>
  <c r="O42" i="4"/>
  <c r="M42" i="4" s="1"/>
  <c r="J42" i="4"/>
  <c r="O41" i="4"/>
  <c r="M41" i="4" s="1"/>
  <c r="J41" i="4"/>
  <c r="O39" i="4"/>
  <c r="M39" i="4" s="1"/>
  <c r="J39" i="4"/>
  <c r="O38" i="4"/>
  <c r="M38" i="4" s="1"/>
  <c r="J38" i="4"/>
  <c r="O36" i="4"/>
  <c r="M36" i="4" s="1"/>
  <c r="J36" i="4"/>
  <c r="O34" i="4"/>
  <c r="M34" i="4" s="1"/>
  <c r="J34" i="4"/>
  <c r="O33" i="4"/>
  <c r="M33" i="4" s="1"/>
  <c r="J33" i="4"/>
  <c r="O31" i="4"/>
  <c r="M31" i="4" s="1"/>
  <c r="J31" i="4"/>
  <c r="O29" i="4"/>
  <c r="M29" i="4"/>
  <c r="J29" i="4"/>
  <c r="M54" i="4" l="1"/>
  <c r="O58" i="4"/>
  <c r="N55" i="4"/>
  <c r="M55" i="4" s="1"/>
  <c r="J55" i="4"/>
  <c r="N53" i="4"/>
  <c r="J53" i="4"/>
  <c r="N49" i="4"/>
  <c r="M49" i="4" s="1"/>
  <c r="J49" i="4"/>
  <c r="N46" i="4"/>
  <c r="M46" i="4" s="1"/>
  <c r="J46" i="4"/>
  <c r="N43" i="4"/>
  <c r="M43" i="4" s="1"/>
  <c r="J43" i="4"/>
  <c r="N40" i="4"/>
  <c r="M40" i="4" s="1"/>
  <c r="J40" i="4"/>
  <c r="N37" i="4"/>
  <c r="M37" i="4" s="1"/>
  <c r="J37" i="4"/>
  <c r="N35" i="4"/>
  <c r="M35" i="4" s="1"/>
  <c r="J35" i="4"/>
  <c r="N32" i="4"/>
  <c r="M32" i="4" s="1"/>
  <c r="J32" i="4"/>
  <c r="N30" i="4"/>
  <c r="M30" i="4"/>
  <c r="J30" i="4"/>
  <c r="N28" i="4"/>
  <c r="M28" i="4" s="1"/>
  <c r="J28" i="4"/>
  <c r="O27" i="4"/>
  <c r="M27" i="4" s="1"/>
  <c r="J27" i="4"/>
  <c r="N26" i="4"/>
  <c r="M26" i="4" s="1"/>
  <c r="J26" i="4"/>
  <c r="M53" i="4" l="1"/>
  <c r="N58" i="4"/>
  <c r="M58" i="4" s="1"/>
  <c r="M59" i="4" s="1"/>
  <c r="M58" i="1"/>
  <c r="G214" i="2" l="1"/>
  <c r="G213" i="2"/>
  <c r="F210" i="2"/>
  <c r="H210" i="2" s="1"/>
  <c r="I208" i="2"/>
  <c r="F207" i="2"/>
  <c r="G206" i="2"/>
  <c r="G205" i="2"/>
  <c r="F202" i="2"/>
  <c r="H202" i="2" s="1"/>
  <c r="L201" i="2"/>
  <c r="L202" i="2" s="1"/>
  <c r="L204" i="2" s="1"/>
  <c r="I200" i="2"/>
  <c r="F199" i="2"/>
  <c r="G198" i="2"/>
  <c r="G197" i="2"/>
  <c r="F194" i="2"/>
  <c r="I196" i="2" s="1"/>
  <c r="I192" i="2"/>
  <c r="F191" i="2"/>
  <c r="G190" i="2"/>
  <c r="G189" i="2"/>
  <c r="I183" i="2"/>
  <c r="F182" i="2"/>
  <c r="C182" i="2"/>
  <c r="C191" i="2" s="1"/>
  <c r="C199" i="2" s="1"/>
  <c r="C207" i="2" s="1"/>
  <c r="G181" i="2"/>
  <c r="G180" i="2"/>
  <c r="F177" i="2"/>
  <c r="H177" i="2" s="1"/>
  <c r="C177" i="2"/>
  <c r="C186" i="2" s="1"/>
  <c r="C194" i="2" s="1"/>
  <c r="C202" i="2" s="1"/>
  <c r="L176" i="2"/>
  <c r="I175" i="2"/>
  <c r="G174" i="2"/>
  <c r="G182" i="2" s="1"/>
  <c r="F174" i="2"/>
  <c r="G173" i="2"/>
  <c r="G172" i="2"/>
  <c r="F169" i="2"/>
  <c r="H169" i="2" s="1"/>
  <c r="L168" i="2"/>
  <c r="L169" i="2" s="1"/>
  <c r="I167" i="2"/>
  <c r="F166" i="2"/>
  <c r="H166" i="2" s="1"/>
  <c r="G165" i="2"/>
  <c r="G164" i="2"/>
  <c r="L162" i="2"/>
  <c r="F186" i="2" s="1"/>
  <c r="L161" i="2"/>
  <c r="K161" i="2"/>
  <c r="G158" i="2"/>
  <c r="I158" i="2" s="1"/>
  <c r="G157" i="2"/>
  <c r="I157" i="2" s="1"/>
  <c r="I156" i="2"/>
  <c r="I155" i="2"/>
  <c r="H154" i="2"/>
  <c r="G152" i="2"/>
  <c r="I152" i="2" s="1"/>
  <c r="G151" i="2"/>
  <c r="I151" i="2" s="1"/>
  <c r="I150" i="2"/>
  <c r="I149" i="2"/>
  <c r="H148" i="2"/>
  <c r="G146" i="2"/>
  <c r="I146" i="2" s="1"/>
  <c r="G145" i="2"/>
  <c r="I145" i="2" s="1"/>
  <c r="I144" i="2"/>
  <c r="I143" i="2"/>
  <c r="H142" i="2"/>
  <c r="G139" i="2"/>
  <c r="G136" i="2"/>
  <c r="G133" i="2"/>
  <c r="K131" i="2"/>
  <c r="F131" i="2"/>
  <c r="I132" i="2" s="1"/>
  <c r="F130" i="2"/>
  <c r="G127" i="2"/>
  <c r="G124" i="2"/>
  <c r="G121" i="2"/>
  <c r="F119" i="2"/>
  <c r="F122" i="2" s="1"/>
  <c r="G116" i="2"/>
  <c r="G113" i="2"/>
  <c r="F111" i="2"/>
  <c r="I112" i="2" s="1"/>
  <c r="L107" i="2"/>
  <c r="G107" i="2"/>
  <c r="G106" i="2"/>
  <c r="G103" i="2"/>
  <c r="N102" i="2"/>
  <c r="F114" i="2" s="1"/>
  <c r="G100" i="2"/>
  <c r="F98" i="2"/>
  <c r="H98" i="2" s="1"/>
  <c r="G97" i="2"/>
  <c r="M96" i="2"/>
  <c r="K96" i="2"/>
  <c r="F95" i="2"/>
  <c r="I96" i="2" s="1"/>
  <c r="I93" i="2"/>
  <c r="I92" i="2"/>
  <c r="F91" i="2"/>
  <c r="H90" i="2"/>
  <c r="J90" i="2" s="1"/>
  <c r="M89" i="2"/>
  <c r="K89" i="2"/>
  <c r="G89" i="2"/>
  <c r="M88" i="2"/>
  <c r="K88" i="2"/>
  <c r="M87" i="2"/>
  <c r="L87" i="2"/>
  <c r="F87" i="2"/>
  <c r="I88" i="2" s="1"/>
  <c r="G85" i="2"/>
  <c r="G84" i="2"/>
  <c r="G81" i="2"/>
  <c r="G78" i="2"/>
  <c r="K76" i="2"/>
  <c r="F76" i="2"/>
  <c r="F82" i="2" s="1"/>
  <c r="K75" i="2"/>
  <c r="G74" i="2"/>
  <c r="G73" i="2"/>
  <c r="G70" i="2"/>
  <c r="G67" i="2"/>
  <c r="F65" i="2"/>
  <c r="I66" i="2" s="1"/>
  <c r="G64" i="2"/>
  <c r="K62" i="2"/>
  <c r="F62" i="2"/>
  <c r="I63" i="2" s="1"/>
  <c r="G60" i="2"/>
  <c r="I60" i="2" s="1"/>
  <c r="G59" i="2"/>
  <c r="I59" i="2" s="1"/>
  <c r="I58" i="2"/>
  <c r="H57" i="2"/>
  <c r="G56" i="2"/>
  <c r="I56" i="2" s="1"/>
  <c r="I55" i="2"/>
  <c r="H54" i="2"/>
  <c r="G53" i="2"/>
  <c r="I53" i="2" s="1"/>
  <c r="I52" i="2"/>
  <c r="L51" i="2"/>
  <c r="K51" i="2"/>
  <c r="H51" i="2"/>
  <c r="G47" i="2"/>
  <c r="G46" i="2"/>
  <c r="G43" i="2"/>
  <c r="N41" i="2"/>
  <c r="G40" i="2"/>
  <c r="K38" i="2"/>
  <c r="F38" i="2"/>
  <c r="H38" i="2" s="1"/>
  <c r="G37" i="2"/>
  <c r="K35" i="2"/>
  <c r="F35" i="2"/>
  <c r="I36" i="2" s="1"/>
  <c r="G33" i="2"/>
  <c r="I33" i="2" s="1"/>
  <c r="G32" i="2"/>
  <c r="I32" i="2" s="1"/>
  <c r="I31" i="2"/>
  <c r="H30" i="2"/>
  <c r="G29" i="2"/>
  <c r="I29" i="2" s="1"/>
  <c r="I28" i="2"/>
  <c r="H27" i="2"/>
  <c r="G26" i="2"/>
  <c r="I26" i="2" s="1"/>
  <c r="I25" i="2"/>
  <c r="L24" i="2"/>
  <c r="K24" i="2"/>
  <c r="H24" i="2"/>
  <c r="I205" i="2"/>
  <c r="I203" i="2"/>
  <c r="I120" i="2"/>
  <c r="H194" i="2" l="1"/>
  <c r="I198" i="2"/>
  <c r="I195" i="2"/>
  <c r="I133" i="2"/>
  <c r="H111" i="2"/>
  <c r="I170" i="2"/>
  <c r="K95" i="2"/>
  <c r="K97" i="2" s="1"/>
  <c r="I204" i="2"/>
  <c r="H35" i="2"/>
  <c r="I206" i="2"/>
  <c r="I214" i="2"/>
  <c r="I99" i="2"/>
  <c r="I213" i="2"/>
  <c r="I100" i="2"/>
  <c r="I77" i="2"/>
  <c r="I67" i="2"/>
  <c r="I211" i="2"/>
  <c r="I180" i="2"/>
  <c r="I212" i="2"/>
  <c r="F41" i="2"/>
  <c r="H41" i="2" s="1"/>
  <c r="H174" i="2"/>
  <c r="I197" i="2"/>
  <c r="F125" i="2"/>
  <c r="H125" i="2" s="1"/>
  <c r="I123" i="2"/>
  <c r="H122" i="2"/>
  <c r="I124" i="2"/>
  <c r="I121" i="2"/>
  <c r="H119" i="2"/>
  <c r="N103" i="2"/>
  <c r="I113" i="2"/>
  <c r="I89" i="2"/>
  <c r="I115" i="2"/>
  <c r="H114" i="2"/>
  <c r="I116" i="2"/>
  <c r="H186" i="2"/>
  <c r="I190" i="2"/>
  <c r="I188" i="2"/>
  <c r="I189" i="2"/>
  <c r="J142" i="2"/>
  <c r="H131" i="2"/>
  <c r="J131" i="2" s="1"/>
  <c r="I97" i="2"/>
  <c r="H76" i="2"/>
  <c r="I64" i="2"/>
  <c r="I179" i="2"/>
  <c r="J30" i="2"/>
  <c r="I85" i="2"/>
  <c r="I181" i="2"/>
  <c r="H62" i="2"/>
  <c r="H87" i="2"/>
  <c r="F79" i="2"/>
  <c r="I81" i="2" s="1"/>
  <c r="I178" i="2"/>
  <c r="J27" i="2"/>
  <c r="J51" i="2"/>
  <c r="J57" i="2"/>
  <c r="I78" i="2"/>
  <c r="M95" i="2"/>
  <c r="M97" i="2" s="1"/>
  <c r="J154" i="2"/>
  <c r="I172" i="2"/>
  <c r="F161" i="2"/>
  <c r="L171" i="2"/>
  <c r="L177" i="2" s="1"/>
  <c r="L179" i="2" s="1"/>
  <c r="G191" i="2"/>
  <c r="H182" i="2"/>
  <c r="J24" i="2"/>
  <c r="J54" i="2"/>
  <c r="J148" i="2"/>
  <c r="H82" i="2"/>
  <c r="I84" i="2"/>
  <c r="I83" i="2"/>
  <c r="I37" i="2"/>
  <c r="F134" i="2"/>
  <c r="I171" i="2"/>
  <c r="F137" i="2"/>
  <c r="I187" i="2"/>
  <c r="H65" i="2"/>
  <c r="F68" i="2"/>
  <c r="I173" i="2"/>
  <c r="F101" i="2"/>
  <c r="I40" i="2"/>
  <c r="H95" i="2"/>
  <c r="I39" i="2"/>
  <c r="J194" i="2" l="1"/>
  <c r="J111" i="2"/>
  <c r="J122" i="2"/>
  <c r="J202" i="2"/>
  <c r="I126" i="2"/>
  <c r="J177" i="2"/>
  <c r="J98" i="2"/>
  <c r="F44" i="2"/>
  <c r="I45" i="2" s="1"/>
  <c r="I127" i="2"/>
  <c r="J125" i="2" s="1"/>
  <c r="J210" i="2"/>
  <c r="J169" i="2"/>
  <c r="I42" i="2"/>
  <c r="J87" i="2"/>
  <c r="J114" i="2"/>
  <c r="J65" i="2"/>
  <c r="J119" i="2"/>
  <c r="I43" i="2"/>
  <c r="J95" i="2"/>
  <c r="J186" i="2"/>
  <c r="J76" i="2"/>
  <c r="J62" i="2"/>
  <c r="I80" i="2"/>
  <c r="H79" i="2"/>
  <c r="J38" i="2"/>
  <c r="I138" i="2"/>
  <c r="H137" i="2"/>
  <c r="I70" i="2"/>
  <c r="I69" i="2"/>
  <c r="H68" i="2"/>
  <c r="F71" i="2"/>
  <c r="J82" i="2"/>
  <c r="I162" i="2"/>
  <c r="I164" i="2"/>
  <c r="I165" i="2"/>
  <c r="I163" i="2"/>
  <c r="H161" i="2"/>
  <c r="I103" i="2"/>
  <c r="H101" i="2"/>
  <c r="F104" i="2"/>
  <c r="I102" i="2"/>
  <c r="I136" i="2"/>
  <c r="H134" i="2"/>
  <c r="I135" i="2"/>
  <c r="J35" i="2"/>
  <c r="I139" i="2"/>
  <c r="G199" i="2"/>
  <c r="H191" i="2"/>
  <c r="I46" i="2" l="1"/>
  <c r="J44" i="2" s="1"/>
  <c r="I47" i="2"/>
  <c r="H44" i="2"/>
  <c r="J41" i="2"/>
  <c r="J79" i="2"/>
  <c r="J101" i="2"/>
  <c r="J68" i="2"/>
  <c r="J134" i="2"/>
  <c r="J161" i="2"/>
  <c r="I73" i="2"/>
  <c r="I72" i="2"/>
  <c r="H71" i="2"/>
  <c r="I74" i="2"/>
  <c r="J137" i="2"/>
  <c r="G207" i="2"/>
  <c r="H207" i="2" s="1"/>
  <c r="H199" i="2"/>
  <c r="I105" i="2"/>
  <c r="I106" i="2"/>
  <c r="I107" i="2"/>
  <c r="H104" i="2"/>
  <c r="I215" i="2" l="1"/>
  <c r="H215" i="2"/>
  <c r="J104" i="2"/>
  <c r="J71" i="2"/>
  <c r="J215" i="2" l="1"/>
</calcChain>
</file>

<file path=xl/sharedStrings.xml><?xml version="1.0" encoding="utf-8"?>
<sst xmlns="http://schemas.openxmlformats.org/spreadsheetml/2006/main" count="783" uniqueCount="217">
  <si>
    <t>№ пп</t>
  </si>
  <si>
    <t xml:space="preserve">Наименование работ </t>
  </si>
  <si>
    <t>Объём работ</t>
  </si>
  <si>
    <t>Примечание</t>
  </si>
  <si>
    <t>всего</t>
  </si>
  <si>
    <t>в том числе</t>
  </si>
  <si>
    <t>Работа</t>
  </si>
  <si>
    <t>Материалы</t>
  </si>
  <si>
    <t>1</t>
  </si>
  <si>
    <t>м3</t>
  </si>
  <si>
    <t>4</t>
  </si>
  <si>
    <t>ИТОГО</t>
  </si>
  <si>
    <t xml:space="preserve">   Приложение №2 к договору строительного подряда №64-20/СП-Л11 от 13.11.2020г.</t>
  </si>
  <si>
    <t>СОГЛАСОВАНО:</t>
  </si>
  <si>
    <t>УТВЕРЖДАЮ:</t>
  </si>
  <si>
    <t>Индивидуальный предприниматель Койчуев М.И.</t>
  </si>
  <si>
    <t>Представитель по доверенности  ООО "Альфа"</t>
  </si>
  <si>
    <t xml:space="preserve">_______________М.И. Койчуев </t>
  </si>
  <si>
    <t xml:space="preserve">_______________И.Ф. Кучерявский </t>
  </si>
  <si>
    <t>Расчет договорной стоимости №1</t>
  </si>
  <si>
    <t>на внутренние отделочные работы</t>
  </si>
  <si>
    <t>объект: «Среднеэтажные жилые дома литер 1-13 по ул. Войсковой, 4 в г. Краснодаре». 11 этап строительства 8-этажный жилой дом. Литер 11</t>
  </si>
  <si>
    <t>Обоснование</t>
  </si>
  <si>
    <t>Наименование</t>
  </si>
  <si>
    <t>Расход</t>
  </si>
  <si>
    <t>Ед. изм.</t>
  </si>
  <si>
    <t>Цена за ед., руб.</t>
  </si>
  <si>
    <t>Стоимость Работ, руб.</t>
  </si>
  <si>
    <t>Стоимость МАТ, руб.</t>
  </si>
  <si>
    <t>Всего, руб.</t>
  </si>
  <si>
    <t>Раздел 1. Технические помещения жилого дома (подвал)</t>
  </si>
  <si>
    <t>ИТП, водомерный узел, электрощитовая, комната уборочного инвентаря</t>
  </si>
  <si>
    <t>Потолок</t>
  </si>
  <si>
    <t>Договорная стоимость</t>
  </si>
  <si>
    <t xml:space="preserve">подготовка бетонных поверхностей потолка  
- грунтовка  
- выравнивающая штукатурка гипсовой смесью b=8мм </t>
  </si>
  <si>
    <t>м2</t>
  </si>
  <si>
    <t xml:space="preserve">Материал Подрядчика </t>
  </si>
  <si>
    <t xml:space="preserve">Грунтовка Бетоноконтакт (Кратекс 15 кг)  </t>
  </si>
  <si>
    <t xml:space="preserve">Гипсовая штукатурка Стойвер механик 30 кг </t>
  </si>
  <si>
    <t>Шпатлевка за 2 раза</t>
  </si>
  <si>
    <t xml:space="preserve">Грунтовка Основит унконт 10 л </t>
  </si>
  <si>
    <t>Шпатлевка гипсовая "Кнауф Сатин" 30 кг</t>
  </si>
  <si>
    <t>Водоэмульсионная окраска,  тип "Капля"</t>
  </si>
  <si>
    <t xml:space="preserve">Грунтовка Основит унконт  10 л </t>
  </si>
  <si>
    <t>Состав для набрызга Промикс 25 кг</t>
  </si>
  <si>
    <t xml:space="preserve">Краска водоэмульсионная Тиккурила 9 л  (13кг) с колером </t>
  </si>
  <si>
    <t>Стены</t>
  </si>
  <si>
    <t xml:space="preserve">Подготовка бетонных поверхностей стен  
- грунтовка  
- выравнивающая штукатурка гипсовой смесью b=8мм 
</t>
  </si>
  <si>
    <t xml:space="preserve">Грунтовка Бетоноконтакт (Кратекс 15 кг) </t>
  </si>
  <si>
    <t>5</t>
  </si>
  <si>
    <t xml:space="preserve">Штукатурка цементно-песчанным раствором кирпичных стен 
</t>
  </si>
  <si>
    <t>Штукатурка ц/п Евромастер 25 кг</t>
  </si>
  <si>
    <t>Шпатлевка за 2 раза( перед окраской)</t>
  </si>
  <si>
    <t>Раздел 2. 1-8 этажи (места общего пользования)</t>
  </si>
  <si>
    <t>Коридор внеквартирный</t>
  </si>
  <si>
    <t xml:space="preserve">Подготовка бетонных поверхностей потолка  
- грунтовка  
- выравнивающая штукатурка гипсовой смесью b=8мм 
</t>
  </si>
  <si>
    <t xml:space="preserve">Шпатлевка гипсовая "Кнауф Сатин" 30 кг </t>
  </si>
  <si>
    <t xml:space="preserve">Состав для набрызга Промикс 25 кг </t>
  </si>
  <si>
    <t xml:space="preserve">Штукатурка гипсовым раствором стен из керамзитобетонных блоков и цементно печанных блоков </t>
  </si>
  <si>
    <t>Потолок Лифтовый хол(оси Л-Н/5-6;1-8 этажи) и межлестничная площадка (Л-Н/6-7;1-8 этажи) лестничные марши</t>
  </si>
  <si>
    <t>колонны добавь</t>
  </si>
  <si>
    <t>добавь стены л/к основ</t>
  </si>
  <si>
    <t>подготовка бетонных поверхностей потолка  
- грунтовка  
- выравнивающая штукатурка гипсовой смесью b=8мм</t>
  </si>
  <si>
    <t>добавить потолки маршей</t>
  </si>
  <si>
    <t>Гипсовая штукатурка Стойвер механик 30 кг</t>
  </si>
  <si>
    <t xml:space="preserve">Стены Лифтовый хол(оси Л-Н/5-6;1-8 этажи) и межлестничная площадка (Л-Н/6-7;1-8 этажи) </t>
  </si>
  <si>
    <t xml:space="preserve">Монтаж Теплоизоляции из минераловатных плит серии ТЕХНОФАС , устройство 
Цементно-песчаной штукатурки  по металлической сетке-просечке 15х30х0.8
</t>
  </si>
  <si>
    <t xml:space="preserve">Материал Генподрядчика </t>
  </si>
  <si>
    <t xml:space="preserve"> Теплоизоляции из минераловатных плит серии ТЕХНОФАС толщ.80 мм</t>
  </si>
  <si>
    <t xml:space="preserve">Сетка металлическая </t>
  </si>
  <si>
    <t>кг</t>
  </si>
  <si>
    <t>Грунтовка Бетоноконтакт (Кратекс 15 кг)</t>
  </si>
  <si>
    <t xml:space="preserve">Штукатурка гипсовым раствором кирпичных стен 
</t>
  </si>
  <si>
    <t>1 эт</t>
  </si>
  <si>
    <t>Краска водоэмульсионная Тиккурила 9 л  (13кг) с колером</t>
  </si>
  <si>
    <t>Раздел 3. Квартиры</t>
  </si>
  <si>
    <t>Жилые комнаты, кухни, прихожие</t>
  </si>
  <si>
    <t xml:space="preserve">Гипсовая штукатурка стен из керамзито-бетонного и цементно-песчан. блока
</t>
  </si>
  <si>
    <t xml:space="preserve">Шпатлевка стен из пазогребневых гипсовых плит за 2 раза, с установкой уголков и использованием сетки 
</t>
  </si>
  <si>
    <t>Раздел 4. Машинное отделение</t>
  </si>
  <si>
    <t xml:space="preserve">Подготовка бетонных поверхностей потолка  
- грунтовка  
- выравнивающая штукатурка гипсовой смесью b=8мм 
- шпатлевка за 2 раза </t>
  </si>
  <si>
    <t>Грунтовка Основит унконт 10 л</t>
  </si>
  <si>
    <t>Водоэмульсионная окраска</t>
  </si>
  <si>
    <t xml:space="preserve">Штукатурка цементно-песчанным раствором кирпичных стен
</t>
  </si>
  <si>
    <t>Полы подвал</t>
  </si>
  <si>
    <t xml:space="preserve">Электрощитовая </t>
  </si>
  <si>
    <t xml:space="preserve">Облицовка керамической плиткой </t>
  </si>
  <si>
    <t xml:space="preserve">Грунтовка Кратекс 10 л </t>
  </si>
  <si>
    <t xml:space="preserve">Керамогранит 30*30 </t>
  </si>
  <si>
    <t xml:space="preserve">Клей Будмар 25 кг </t>
  </si>
  <si>
    <t xml:space="preserve">Затирка для плитки Церезит 2 кг </t>
  </si>
  <si>
    <t xml:space="preserve"> ИТП, водомерный узел, тамбур</t>
  </si>
  <si>
    <t>Грунтовка Кратекс 10 л</t>
  </si>
  <si>
    <t>Клей Будмар 25 кг</t>
  </si>
  <si>
    <t>Затирка для плитки Церезит 2 кг</t>
  </si>
  <si>
    <t xml:space="preserve"> КУИ(3)</t>
  </si>
  <si>
    <t>1 этаж</t>
  </si>
  <si>
    <t>Внеквартирный коридор</t>
  </si>
  <si>
    <t xml:space="preserve">Договорная стоимость
</t>
  </si>
  <si>
    <t>.2-8</t>
  </si>
  <si>
    <t xml:space="preserve">Устройство керамического плинтуса 150 мм
</t>
  </si>
  <si>
    <t>м.п.</t>
  </si>
  <si>
    <t>Тамбур,  лестнично-лифтовый холл</t>
  </si>
  <si>
    <t>Лестница 4-5/А</t>
  </si>
  <si>
    <t>2-8 этаж</t>
  </si>
  <si>
    <t>Лестничные площадки и лифтовый хол</t>
  </si>
  <si>
    <t>Ступени монолитной лестницы в осях Л-Н/6-7 и 4-5/А</t>
  </si>
  <si>
    <t>Облицовка керамической плиткой ступененй</t>
  </si>
  <si>
    <t>ВСЕГО без НДС</t>
  </si>
  <si>
    <t>Инженер СДО___________________________Остапенко Т.А.</t>
  </si>
  <si>
    <t>Инженер ПТО ___________________________Ситников В.А.</t>
  </si>
  <si>
    <t xml:space="preserve">ПС - подготовка бетонных поверхностей стен  
- грунтовка  
- выравнивающая штукатурка гипсовой смесью b=8мм 
- шпатлевка за 2 раза </t>
  </si>
  <si>
    <t xml:space="preserve">ОКП - облицовка керамической плиткой </t>
  </si>
  <si>
    <t>ВО водоэмульонная окарска</t>
  </si>
  <si>
    <t xml:space="preserve">ШП - штукатурка цементно-песчанным раствором кирпичных стен 
</t>
  </si>
  <si>
    <t xml:space="preserve">ОКП - облицовка керамической плиткой пола
</t>
  </si>
  <si>
    <t xml:space="preserve">ОКП - облицовка керамической плиткой плинтус 150 мм
</t>
  </si>
  <si>
    <t xml:space="preserve">ПЗ - облицовка по детали А 
</t>
  </si>
  <si>
    <t xml:space="preserve">Ш -шпатлевка стен из пазогребневых гипсовых плит
</t>
  </si>
  <si>
    <t xml:space="preserve">ШГС - гипсовая штукатурка стен из керамзито-бетонного и цементно-песчан. блока
</t>
  </si>
  <si>
    <t>Норма расхода</t>
  </si>
  <si>
    <t>Расшивка и заделка отверстий от стяжной арматуры и ограничителей</t>
  </si>
  <si>
    <t>шт.</t>
  </si>
  <si>
    <t>м</t>
  </si>
  <si>
    <t>Гидроизоляция низа фундаментной плиты методом просыпки</t>
  </si>
  <si>
    <t>Гидмакс Флекс</t>
  </si>
  <si>
    <t>Профилированная мембрана ВиллаДрейн 400</t>
  </si>
  <si>
    <t>Утепление стен пенополистиролом</t>
  </si>
  <si>
    <t>ЭППС-основа</t>
  </si>
  <si>
    <t>Клей-пена</t>
  </si>
  <si>
    <t xml:space="preserve">Расшивка и заделка вертикальных швов </t>
  </si>
  <si>
    <t>Лента РОБИБАНД</t>
  </si>
  <si>
    <t>баллон</t>
  </si>
  <si>
    <t>Гидроизоляция приямков</t>
  </si>
  <si>
    <t>Гидроизоляция приямков обмазочная</t>
  </si>
  <si>
    <t>Зпщита гидроизоляционного слоя дренажным полотном</t>
  </si>
  <si>
    <t>Крепление дренажного полотна к утеплителю</t>
  </si>
  <si>
    <t>Установка набухающего шнурав рабочие швы бетонирования</t>
  </si>
  <si>
    <t>Установка гидроизоляционной шпонки ДО-320/50-6/30 в деформационные швы</t>
  </si>
  <si>
    <t>Гидроизоляция горизонтальных швов</t>
  </si>
  <si>
    <t>Умикс Гловермикс</t>
  </si>
  <si>
    <t>Умикс Минерал Флекс (2 слоя)</t>
  </si>
  <si>
    <t>Умикс Капилар (2 слоя)</t>
  </si>
  <si>
    <t>Экструзионный пенополистирол Пеноплэкс Основа толщ. 50 мм</t>
  </si>
  <si>
    <t xml:space="preserve">Умикс Минерал Флекс </t>
  </si>
  <si>
    <t>Умикс Капилар</t>
  </si>
  <si>
    <t>Бетонитовый набухающий шнур</t>
  </si>
  <si>
    <t>Гидроизоляционная шпонка Аквастоп ДО-320/50-6/30</t>
  </si>
  <si>
    <t>Умикс Минерал Флекс (в 2 слоя)</t>
  </si>
  <si>
    <t xml:space="preserve">Гидроизоляция наружных поверхностей стен  торцов и вылетов фунд.плит </t>
  </si>
  <si>
    <t>Расшивка и заделка горизонтальных швов бетонирования на отм. -3,040,-1,580 и -0,031</t>
  </si>
  <si>
    <t xml:space="preserve">Приложение </t>
  </si>
  <si>
    <t>к договору субподряда от _ № _</t>
  </si>
  <si>
    <t>УТВЕРЖДАЮ</t>
  </si>
  <si>
    <t>Генеральный директор</t>
  </si>
  <si>
    <t>ООО СЗ "СК НВМ"</t>
  </si>
  <si>
    <t>________________</t>
  </si>
  <si>
    <t>________________ С.Т. Намоев</t>
  </si>
  <si>
    <t>" _____ " ________________ 2026 г.</t>
  </si>
  <si>
    <t>"______ " _______________2026 г.</t>
  </si>
  <si>
    <t>ВЕДОМОСТЬ ДОГОВОРНОЙ ЦЕНЫ № 1</t>
  </si>
  <si>
    <t>комплекс работ по устройству каменной кладки</t>
  </si>
  <si>
    <t>на Объекте:  "Многоквартирный жилой комплекс по адресу: Краснодарский край, р-н Динской, п. Южный. I очередь" (Литер 6), Шифр: 1201-Р-6-ГИ</t>
  </si>
  <si>
    <t>Данные об организации</t>
  </si>
  <si>
    <t>Наименование компании</t>
  </si>
  <si>
    <t>ИНН</t>
  </si>
  <si>
    <t>Адрес</t>
  </si>
  <si>
    <t>ФИО директора</t>
  </si>
  <si>
    <t>ФИО контактного лица/телефон, e-mail</t>
  </si>
  <si>
    <t>Система налогооблажения</t>
  </si>
  <si>
    <t>Условия оплаты: поэтапная оплата по факту предъявления актов выполненных работ, отсрочка платежа 30 календарных дней</t>
  </si>
  <si>
    <t>Да/Нет</t>
  </si>
  <si>
    <t>№ пп по РД</t>
  </si>
  <si>
    <t>код</t>
  </si>
  <si>
    <t>БС/этажи</t>
  </si>
  <si>
    <t>Раздел,подраздел</t>
  </si>
  <si>
    <t>ед. изм.</t>
  </si>
  <si>
    <t>Цена за ед. изм.без НДС, руб</t>
  </si>
  <si>
    <t>Стоимость без НДС.,руб.</t>
  </si>
  <si>
    <t xml:space="preserve">04.03.01.01 </t>
  </si>
  <si>
    <t>3</t>
  </si>
  <si>
    <t>2</t>
  </si>
  <si>
    <t>7</t>
  </si>
  <si>
    <t>6</t>
  </si>
  <si>
    <t>04.03.01.02</t>
  </si>
  <si>
    <t>9</t>
  </si>
  <si>
    <t>10</t>
  </si>
  <si>
    <t>ИТОГО без НДС</t>
  </si>
  <si>
    <t>Начало работ на объекте:</t>
  </si>
  <si>
    <t>Срок выполнения работ:</t>
  </si>
  <si>
    <t>Срок действия коммерческого предложения не менее 30 календарных дней</t>
  </si>
  <si>
    <t>Указать в календарных днях</t>
  </si>
  <si>
    <t>Срок поставки в календарных днях</t>
  </si>
  <si>
    <t>Срок выполнения монтажных работ</t>
  </si>
  <si>
    <t>Срок выполнения пуско-наладочных работ (ПНР)</t>
  </si>
  <si>
    <t xml:space="preserve">Среднесписочная численность сотрудников  </t>
  </si>
  <si>
    <t>Указать кол-во</t>
  </si>
  <si>
    <r>
      <t>Предоставить скан копию СРО на Строительно-монтажные работы+</t>
    </r>
    <r>
      <rPr>
        <b/>
        <sz val="12"/>
        <rFont val="Times New Roman"/>
        <family val="1"/>
        <charset val="204"/>
      </rPr>
      <t>ЛИЦЕНЗИЯ МЧС</t>
    </r>
  </si>
  <si>
    <t>приложить скан копию (Файл)</t>
  </si>
  <si>
    <t>Согласие на подписание типовой формы договора заказчика без протокола разногласий</t>
  </si>
  <si>
    <t>Гарантия на оборудование/материалы/работы/услуги</t>
  </si>
  <si>
    <t>60 месяцев</t>
  </si>
  <si>
    <t>Комментарии</t>
  </si>
  <si>
    <t>Примечание: Материалы заказчика</t>
  </si>
  <si>
    <t>НОРМАТИВНЫЕ ПОКАЗАТЕЛИ РАСХОДА МАТЕРИАЛА</t>
  </si>
  <si>
    <t>Устройство каменной кладки</t>
  </si>
  <si>
    <t>№ 
п/п</t>
  </si>
  <si>
    <t>Наименование видов работ</t>
  </si>
  <si>
    <t>Ед.изм</t>
  </si>
  <si>
    <t xml:space="preserve"> 1.1</t>
  </si>
  <si>
    <t xml:space="preserve"> 1.2</t>
  </si>
  <si>
    <t>2.1</t>
  </si>
  <si>
    <t>2.2</t>
  </si>
  <si>
    <t>ВЕДОМОСТЬ ОБЪЕМОВ РАБОТ № 1</t>
  </si>
  <si>
    <t>Материал подрядчика</t>
  </si>
  <si>
    <t>ИТОГО без НДС, руб</t>
  </si>
  <si>
    <t>ИТОГО с НДС 22%, 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</si>
</sst>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#\ ##0.00"/>
  </numFmts>
  <fonts count="43" x14ac:knownFonts="1">
    <font>
      <sz val="10"/>
      <name val="Arial Cyr"/>
      <charset val="204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3F3F3F"/>
      <name val="Calibri"/>
      <family val="2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A"/>
      <name val="Times New Roman"/>
      <family val="1"/>
      <charset val="204"/>
    </font>
    <font>
      <b/>
      <sz val="12"/>
      <color rgb="FF00000A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color rgb="FF9C6500"/>
      <name val="Calibri"/>
      <family val="2"/>
      <charset val="204"/>
    </font>
    <font>
      <sz val="10"/>
      <color rgb="FFFF0000"/>
      <name val="Times New Roman"/>
      <family val="1"/>
      <charset val="204"/>
    </font>
    <font>
      <sz val="11"/>
      <color rgb="FF9C0006"/>
      <name val="Calibri"/>
      <family val="2"/>
      <charset val="204"/>
    </font>
    <font>
      <sz val="11"/>
      <color rgb="FF006100"/>
      <name val="Calibri"/>
      <family val="2"/>
      <charset val="204"/>
    </font>
    <font>
      <sz val="8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8"/>
      <color rgb="FF7030A0"/>
      <name val="Times New Roman"/>
      <family val="1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2"/>
      <name val="Calibri"/>
      <family val="2"/>
      <charset val="204"/>
    </font>
    <font>
      <sz val="11"/>
      <name val="Calibri"/>
      <family val="2"/>
      <charset val="204"/>
    </font>
    <font>
      <b/>
      <sz val="14"/>
      <color theme="1"/>
      <name val="Times New Roman"/>
      <family val="1"/>
    </font>
    <font>
      <sz val="11"/>
      <color theme="1"/>
      <name val="Times New Roman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rgb="FFFF0000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2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rgb="FFF2F2F2"/>
        <bgColor rgb="FFE7E6E6"/>
      </patternFill>
    </fill>
    <fill>
      <patternFill patternType="solid">
        <fgColor rgb="FFFFEB9C"/>
        <bgColor rgb="FFFFFFD7"/>
      </patternFill>
    </fill>
    <fill>
      <patternFill patternType="solid">
        <fgColor rgb="FFFFC7CE"/>
        <bgColor rgb="FFD9D9D9"/>
      </patternFill>
    </fill>
    <fill>
      <patternFill patternType="solid">
        <fgColor rgb="FFC6EFCE"/>
        <bgColor rgb="FFD9D9D9"/>
      </patternFill>
    </fill>
    <fill>
      <patternFill patternType="solid">
        <fgColor rgb="FFFFFFFF"/>
        <bgColor rgb="FFF2F2F2"/>
      </patternFill>
    </fill>
    <fill>
      <patternFill patternType="solid">
        <fgColor rgb="FFD9D9D9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CCFFFF"/>
      </patternFill>
    </fill>
    <fill>
      <patternFill patternType="solid">
        <fgColor theme="8" tint="0.79998168889431442"/>
        <bgColor rgb="FFCCFFFF"/>
      </patternFill>
    </fill>
    <fill>
      <patternFill patternType="solid">
        <fgColor theme="7" tint="0.79998168889431442"/>
        <bgColor rgb="FFCCFFFF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numFmtId="0" fontId="0" fillId="0" borderId="0"/>
    <xf numFmtId="0" fontId="26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0" fillId="2" borderId="1" applyProtection="0"/>
    <xf numFmtId="0" fontId="19" fillId="3" borderId="0" applyBorder="0" applyProtection="0"/>
    <xf numFmtId="0" fontId="21" fillId="4" borderId="0" applyBorder="0" applyProtection="0"/>
    <xf numFmtId="0" fontId="22" fillId="5" borderId="0" applyBorder="0" applyProtection="0"/>
    <xf numFmtId="0" fontId="2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6" fillId="0" borderId="0"/>
    <xf numFmtId="0" fontId="26" fillId="0" borderId="0"/>
    <xf numFmtId="0" fontId="37" fillId="0" borderId="0"/>
    <xf numFmtId="0" fontId="29" fillId="0" borderId="0"/>
  </cellStyleXfs>
  <cellXfs count="187">
    <xf numFmtId="0" fontId="0" fillId="0" borderId="0" xfId="0"/>
    <xf numFmtId="0" fontId="3" fillId="6" borderId="0" xfId="0" applyFont="1" applyFill="1" applyAlignment="1">
      <alignment horizontal="left" vertical="top" wrapText="1"/>
    </xf>
    <xf numFmtId="0" fontId="3" fillId="6" borderId="0" xfId="0" applyFont="1" applyFill="1" applyAlignment="1">
      <alignment horizontal="center" wrapText="1"/>
    </xf>
    <xf numFmtId="0" fontId="5" fillId="6" borderId="0" xfId="0" applyFont="1" applyFill="1"/>
    <xf numFmtId="0" fontId="5" fillId="6" borderId="0" xfId="0" applyFont="1" applyFill="1" applyAlignment="1">
      <alignment horizontal="right"/>
    </xf>
    <xf numFmtId="0" fontId="3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wrapText="1"/>
    </xf>
    <xf numFmtId="2" fontId="5" fillId="6" borderId="2" xfId="0" applyNumberFormat="1" applyFont="1" applyFill="1" applyBorder="1" applyAlignment="1">
      <alignment horizontal="right"/>
    </xf>
    <xf numFmtId="0" fontId="3" fillId="6" borderId="0" xfId="0" applyFont="1" applyFill="1" applyAlignment="1">
      <alignment horizontal="center" vertical="center"/>
    </xf>
    <xf numFmtId="49" fontId="3" fillId="6" borderId="0" xfId="0" applyNumberFormat="1" applyFont="1" applyFill="1" applyAlignment="1">
      <alignment horizontal="left" vertical="top"/>
    </xf>
    <xf numFmtId="0" fontId="14" fillId="6" borderId="0" xfId="0" applyFont="1" applyFill="1" applyAlignment="1">
      <alignment horizontal="center"/>
    </xf>
    <xf numFmtId="0" fontId="8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4" fillId="6" borderId="0" xfId="0" applyFont="1" applyFill="1" applyAlignment="1">
      <alignment horizontal="center" vertical="center" wrapText="1"/>
    </xf>
    <xf numFmtId="2" fontId="4" fillId="6" borderId="0" xfId="0" applyNumberFormat="1" applyFont="1" applyFill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right" vertical="center"/>
    </xf>
    <xf numFmtId="0" fontId="3" fillId="7" borderId="2" xfId="0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left" vertical="top" wrapText="1"/>
    </xf>
    <xf numFmtId="0" fontId="3" fillId="7" borderId="2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center" wrapText="1"/>
    </xf>
    <xf numFmtId="0" fontId="5" fillId="7" borderId="2" xfId="0" applyFont="1" applyFill="1" applyBorder="1"/>
    <xf numFmtId="0" fontId="5" fillId="7" borderId="2" xfId="0" applyFont="1" applyFill="1" applyBorder="1" applyAlignment="1">
      <alignment horizontal="right"/>
    </xf>
    <xf numFmtId="2" fontId="5" fillId="7" borderId="2" xfId="0" applyNumberFormat="1" applyFont="1" applyFill="1" applyBorder="1"/>
    <xf numFmtId="49" fontId="13" fillId="6" borderId="2" xfId="0" applyNumberFormat="1" applyFont="1" applyFill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5" fillId="6" borderId="2" xfId="0" applyFont="1" applyFill="1" applyBorder="1"/>
    <xf numFmtId="2" fontId="5" fillId="6" borderId="2" xfId="0" applyNumberFormat="1" applyFont="1" applyFill="1" applyBorder="1"/>
    <xf numFmtId="0" fontId="7" fillId="6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right"/>
    </xf>
    <xf numFmtId="0" fontId="5" fillId="7" borderId="2" xfId="0" applyFont="1" applyFill="1" applyBorder="1" applyAlignment="1">
      <alignment horizontal="right" vertical="top"/>
    </xf>
    <xf numFmtId="0" fontId="11" fillId="7" borderId="2" xfId="0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 vertical="top"/>
    </xf>
    <xf numFmtId="0" fontId="7" fillId="6" borderId="2" xfId="0" applyFont="1" applyFill="1" applyBorder="1" applyAlignment="1">
      <alignment horizontal="center" vertical="top"/>
    </xf>
    <xf numFmtId="0" fontId="5" fillId="0" borderId="0" xfId="0" applyFont="1" applyAlignment="1">
      <alignment horizontal="right"/>
    </xf>
    <xf numFmtId="0" fontId="3" fillId="7" borderId="2" xfId="0" applyFont="1" applyFill="1" applyBorder="1" applyAlignment="1">
      <alignment horizontal="left" wrapText="1"/>
    </xf>
    <xf numFmtId="0" fontId="3" fillId="6" borderId="2" xfId="0" applyFont="1" applyFill="1" applyBorder="1" applyAlignment="1">
      <alignment horizontal="left" vertical="top" wrapText="1"/>
    </xf>
    <xf numFmtId="0" fontId="20" fillId="6" borderId="0" xfId="0" applyFont="1" applyFill="1"/>
    <xf numFmtId="0" fontId="21" fillId="4" borderId="2" xfId="8" applyBorder="1" applyAlignment="1" applyProtection="1">
      <alignment horizontal="center" vertical="center"/>
    </xf>
    <xf numFmtId="49" fontId="21" fillId="4" borderId="2" xfId="8" applyNumberFormat="1" applyBorder="1" applyAlignment="1" applyProtection="1">
      <alignment horizontal="left" vertical="top" wrapText="1"/>
    </xf>
    <xf numFmtId="0" fontId="21" fillId="4" borderId="2" xfId="8" applyBorder="1" applyAlignment="1" applyProtection="1">
      <alignment horizontal="left" vertical="top" wrapText="1"/>
    </xf>
    <xf numFmtId="0" fontId="21" fillId="4" borderId="2" xfId="8" applyBorder="1" applyAlignment="1" applyProtection="1">
      <alignment horizontal="center" wrapText="1"/>
    </xf>
    <xf numFmtId="0" fontId="21" fillId="4" borderId="2" xfId="8" applyBorder="1" applyProtection="1"/>
    <xf numFmtId="0" fontId="21" fillId="4" borderId="2" xfId="8" applyBorder="1" applyAlignment="1" applyProtection="1">
      <alignment horizontal="right"/>
    </xf>
    <xf numFmtId="2" fontId="21" fillId="4" borderId="2" xfId="8" applyNumberFormat="1" applyBorder="1" applyProtection="1"/>
    <xf numFmtId="49" fontId="21" fillId="4" borderId="2" xfId="8" applyNumberFormat="1" applyBorder="1" applyAlignment="1" applyProtection="1">
      <alignment vertical="top" wrapText="1"/>
    </xf>
    <xf numFmtId="2" fontId="21" fillId="4" borderId="2" xfId="8" applyNumberFormat="1" applyBorder="1" applyAlignment="1" applyProtection="1">
      <alignment horizontal="right"/>
    </xf>
    <xf numFmtId="0" fontId="21" fillId="4" borderId="0" xfId="8" applyBorder="1" applyProtection="1"/>
    <xf numFmtId="16" fontId="5" fillId="6" borderId="0" xfId="0" applyNumberFormat="1" applyFont="1" applyFill="1"/>
    <xf numFmtId="0" fontId="21" fillId="4" borderId="2" xfId="8" applyBorder="1" applyAlignment="1" applyProtection="1">
      <alignment horizontal="right" vertical="top"/>
    </xf>
    <xf numFmtId="0" fontId="21" fillId="4" borderId="2" xfId="8" applyBorder="1" applyAlignment="1" applyProtection="1">
      <alignment horizontal="center" vertical="top" wrapText="1"/>
    </xf>
    <xf numFmtId="0" fontId="21" fillId="4" borderId="2" xfId="8" applyBorder="1" applyAlignment="1" applyProtection="1">
      <alignment horizontal="center"/>
    </xf>
    <xf numFmtId="0" fontId="21" fillId="4" borderId="2" xfId="8" applyBorder="1" applyAlignment="1" applyProtection="1">
      <alignment horizontal="center" vertical="top"/>
    </xf>
    <xf numFmtId="0" fontId="22" fillId="5" borderId="2" xfId="9" applyBorder="1" applyAlignment="1" applyProtection="1">
      <alignment horizontal="center" vertical="center"/>
    </xf>
    <xf numFmtId="49" fontId="22" fillId="5" borderId="2" xfId="9" applyNumberFormat="1" applyBorder="1" applyAlignment="1" applyProtection="1">
      <alignment horizontal="left" vertical="top" wrapText="1"/>
    </xf>
    <xf numFmtId="0" fontId="22" fillId="5" borderId="2" xfId="9" applyBorder="1" applyAlignment="1" applyProtection="1">
      <alignment horizontal="left" vertical="center" wrapText="1"/>
    </xf>
    <xf numFmtId="0" fontId="22" fillId="5" borderId="2" xfId="9" applyBorder="1" applyAlignment="1" applyProtection="1">
      <alignment horizontal="center" wrapText="1"/>
    </xf>
    <xf numFmtId="0" fontId="22" fillId="5" borderId="2" xfId="9" applyBorder="1" applyProtection="1"/>
    <xf numFmtId="0" fontId="22" fillId="5" borderId="2" xfId="9" applyBorder="1" applyAlignment="1" applyProtection="1">
      <alignment horizontal="right"/>
    </xf>
    <xf numFmtId="2" fontId="22" fillId="5" borderId="2" xfId="9" applyNumberFormat="1" applyBorder="1" applyProtection="1"/>
    <xf numFmtId="0" fontId="3" fillId="7" borderId="2" xfId="0" applyFont="1" applyFill="1" applyBorder="1" applyAlignment="1">
      <alignment vertical="center"/>
    </xf>
    <xf numFmtId="49" fontId="4" fillId="7" borderId="2" xfId="0" applyNumberFormat="1" applyFont="1" applyFill="1" applyBorder="1" applyAlignment="1">
      <alignment vertical="top" wrapText="1"/>
    </xf>
    <xf numFmtId="0" fontId="3" fillId="6" borderId="2" xfId="0" applyFont="1" applyFill="1" applyBorder="1" applyAlignment="1">
      <alignment vertical="center"/>
    </xf>
    <xf numFmtId="0" fontId="23" fillId="6" borderId="2" xfId="0" applyFont="1" applyFill="1" applyBorder="1" applyAlignment="1">
      <alignment horizontal="center" wrapText="1"/>
    </xf>
    <xf numFmtId="0" fontId="7" fillId="6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left" vertical="top" wrapText="1"/>
    </xf>
    <xf numFmtId="49" fontId="24" fillId="6" borderId="2" xfId="0" applyNumberFormat="1" applyFont="1" applyFill="1" applyBorder="1" applyAlignment="1">
      <alignment vertical="top" wrapText="1"/>
    </xf>
    <xf numFmtId="49" fontId="4" fillId="7" borderId="2" xfId="0" applyNumberFormat="1" applyFont="1" applyFill="1" applyBorder="1" applyAlignment="1">
      <alignment horizontal="center" vertical="center" wrapText="1"/>
    </xf>
    <xf numFmtId="4" fontId="12" fillId="7" borderId="3" xfId="1" applyNumberFormat="1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/>
    </xf>
    <xf numFmtId="4" fontId="12" fillId="7" borderId="2" xfId="1" applyNumberFormat="1" applyFont="1" applyFill="1" applyBorder="1" applyAlignment="1">
      <alignment horizontal="center"/>
    </xf>
    <xf numFmtId="4" fontId="9" fillId="7" borderId="2" xfId="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25" fillId="6" borderId="2" xfId="0" applyFont="1" applyFill="1" applyBorder="1" applyAlignment="1">
      <alignment horizontal="center" wrapText="1"/>
    </xf>
    <xf numFmtId="2" fontId="5" fillId="8" borderId="2" xfId="0" applyNumberFormat="1" applyFont="1" applyFill="1" applyBorder="1"/>
    <xf numFmtId="0" fontId="5" fillId="6" borderId="4" xfId="1" applyFont="1" applyFill="1" applyBorder="1" applyAlignment="1">
      <alignment vertical="center"/>
    </xf>
    <xf numFmtId="4" fontId="12" fillId="6" borderId="3" xfId="1" applyNumberFormat="1" applyFont="1" applyFill="1" applyBorder="1"/>
    <xf numFmtId="4" fontId="12" fillId="6" borderId="3" xfId="1" applyNumberFormat="1" applyFont="1" applyFill="1" applyBorder="1" applyAlignment="1">
      <alignment vertical="center"/>
    </xf>
    <xf numFmtId="4" fontId="11" fillId="6" borderId="3" xfId="1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31" fillId="0" borderId="0" xfId="0" applyFont="1" applyAlignment="1">
      <alignment horizontal="center" vertical="top"/>
    </xf>
    <xf numFmtId="0" fontId="31" fillId="0" borderId="0" xfId="0" applyFont="1" applyAlignment="1">
      <alignment vertical="top"/>
    </xf>
    <xf numFmtId="0" fontId="31" fillId="0" borderId="0" xfId="0" applyFont="1" applyAlignment="1">
      <alignment horizontal="right" vertical="top"/>
    </xf>
    <xf numFmtId="0" fontId="12" fillId="0" borderId="0" xfId="16" applyFont="1" applyAlignment="1">
      <alignment horizontal="left" vertical="top"/>
    </xf>
    <xf numFmtId="0" fontId="12" fillId="0" borderId="0" xfId="16" applyFont="1" applyAlignment="1">
      <alignment horizontal="right" vertical="top"/>
    </xf>
    <xf numFmtId="0" fontId="9" fillId="0" borderId="0" xfId="16" applyFont="1" applyAlignment="1">
      <alignment horizontal="left" vertical="top"/>
    </xf>
    <xf numFmtId="0" fontId="9" fillId="0" borderId="0" xfId="16" applyFont="1" applyAlignment="1">
      <alignment horizontal="right" vertical="top"/>
    </xf>
    <xf numFmtId="0" fontId="31" fillId="0" borderId="0" xfId="11" applyFont="1" applyAlignment="1">
      <alignment vertical="top"/>
    </xf>
    <xf numFmtId="0" fontId="30" fillId="0" borderId="0" xfId="16" applyFont="1" applyAlignment="1">
      <alignment horizontal="center" vertical="top"/>
    </xf>
    <xf numFmtId="49" fontId="11" fillId="0" borderId="2" xfId="0" applyNumberFormat="1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/>
    </xf>
    <xf numFmtId="49" fontId="32" fillId="0" borderId="2" xfId="0" applyNumberFormat="1" applyFont="1" applyBorder="1" applyAlignment="1">
      <alignment horizontal="center" vertical="center"/>
    </xf>
    <xf numFmtId="1" fontId="33" fillId="10" borderId="9" xfId="0" applyNumberFormat="1" applyFont="1" applyFill="1" applyBorder="1" applyAlignment="1">
      <alignment horizontal="center" vertical="center"/>
    </xf>
    <xf numFmtId="49" fontId="33" fillId="10" borderId="2" xfId="0" applyNumberFormat="1" applyFont="1" applyFill="1" applyBorder="1" applyAlignment="1">
      <alignment horizontal="center" vertical="center"/>
    </xf>
    <xf numFmtId="49" fontId="33" fillId="10" borderId="2" xfId="0" applyNumberFormat="1" applyFont="1" applyFill="1" applyBorder="1" applyAlignment="1">
      <alignment horizontal="left" vertical="center" wrapText="1"/>
    </xf>
    <xf numFmtId="49" fontId="33" fillId="10" borderId="2" xfId="0" applyNumberFormat="1" applyFont="1" applyFill="1" applyBorder="1" applyAlignment="1">
      <alignment horizontal="center" vertical="top" wrapText="1"/>
    </xf>
    <xf numFmtId="49" fontId="33" fillId="10" borderId="2" xfId="0" applyNumberFormat="1" applyFont="1" applyFill="1" applyBorder="1" applyAlignment="1">
      <alignment horizontal="center" vertical="center" wrapText="1"/>
    </xf>
    <xf numFmtId="0" fontId="33" fillId="10" borderId="2" xfId="0" applyFont="1" applyFill="1" applyBorder="1" applyAlignment="1">
      <alignment horizontal="center" vertical="center" wrapText="1"/>
    </xf>
    <xf numFmtId="4" fontId="28" fillId="11" borderId="2" xfId="0" applyNumberFormat="1" applyFont="1" applyFill="1" applyBorder="1" applyAlignment="1">
      <alignment horizontal="center" vertical="center"/>
    </xf>
    <xf numFmtId="49" fontId="33" fillId="10" borderId="5" xfId="0" applyNumberFormat="1" applyFont="1" applyFill="1" applyBorder="1" applyAlignment="1">
      <alignment horizontal="center" vertical="center" wrapText="1"/>
    </xf>
    <xf numFmtId="0" fontId="34" fillId="0" borderId="2" xfId="0" applyFont="1" applyBorder="1" applyAlignment="1">
      <alignment horizontal="center" wrapText="1"/>
    </xf>
    <xf numFmtId="49" fontId="7" fillId="9" borderId="2" xfId="0" applyNumberFormat="1" applyFont="1" applyFill="1" applyBorder="1" applyAlignment="1">
      <alignment vertical="center" wrapText="1"/>
    </xf>
    <xf numFmtId="49" fontId="7" fillId="9" borderId="2" xfId="0" applyNumberFormat="1" applyFont="1" applyFill="1" applyBorder="1" applyAlignment="1">
      <alignment horizontal="center" vertical="center" wrapText="1"/>
    </xf>
    <xf numFmtId="49" fontId="7" fillId="9" borderId="2" xfId="0" applyNumberFormat="1" applyFont="1" applyFill="1" applyBorder="1" applyAlignment="1">
      <alignment horizontal="right" vertical="center" wrapText="1"/>
    </xf>
    <xf numFmtId="4" fontId="7" fillId="9" borderId="2" xfId="0" applyNumberFormat="1" applyFont="1" applyFill="1" applyBorder="1" applyAlignment="1">
      <alignment horizontal="center" vertical="center" wrapText="1"/>
    </xf>
    <xf numFmtId="0" fontId="35" fillId="0" borderId="2" xfId="0" applyFont="1" applyBorder="1"/>
    <xf numFmtId="0" fontId="34" fillId="0" borderId="2" xfId="0" applyFont="1" applyBorder="1" applyAlignment="1">
      <alignment wrapText="1"/>
    </xf>
    <xf numFmtId="49" fontId="28" fillId="9" borderId="2" xfId="0" applyNumberFormat="1" applyFont="1" applyFill="1" applyBorder="1" applyAlignment="1">
      <alignment vertical="center" wrapText="1"/>
    </xf>
    <xf numFmtId="4" fontId="28" fillId="9" borderId="2" xfId="0" applyNumberFormat="1" applyFont="1" applyFill="1" applyBorder="1" applyAlignment="1">
      <alignment horizontal="center" vertical="center" wrapText="1"/>
    </xf>
    <xf numFmtId="0" fontId="34" fillId="0" borderId="2" xfId="0" applyFont="1" applyBorder="1" applyAlignment="1">
      <alignment horizontal="left" wrapText="1"/>
    </xf>
    <xf numFmtId="49" fontId="28" fillId="9" borderId="2" xfId="0" applyNumberFormat="1" applyFont="1" applyFill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39" fillId="0" borderId="0" xfId="0" applyFont="1"/>
    <xf numFmtId="0" fontId="40" fillId="0" borderId="2" xfId="18" applyFont="1" applyBorder="1" applyAlignment="1">
      <alignment horizontal="center" vertical="center" wrapText="1"/>
    </xf>
    <xf numFmtId="0" fontId="40" fillId="0" borderId="2" xfId="18" applyFont="1" applyBorder="1" applyAlignment="1">
      <alignment horizontal="center" vertical="center"/>
    </xf>
    <xf numFmtId="0" fontId="40" fillId="0" borderId="2" xfId="18" applyFont="1" applyBorder="1" applyAlignment="1">
      <alignment vertical="center" wrapText="1"/>
    </xf>
    <xf numFmtId="16" fontId="31" fillId="0" borderId="2" xfId="18" applyNumberFormat="1" applyFont="1" applyBorder="1" applyAlignment="1">
      <alignment horizontal="center"/>
    </xf>
    <xf numFmtId="0" fontId="41" fillId="0" borderId="2" xfId="18" applyFont="1" applyBorder="1" applyAlignment="1">
      <alignment wrapText="1"/>
    </xf>
    <xf numFmtId="0" fontId="41" fillId="0" borderId="2" xfId="18" applyFont="1" applyBorder="1" applyAlignment="1">
      <alignment horizontal="center"/>
    </xf>
    <xf numFmtId="0" fontId="31" fillId="0" borderId="2" xfId="18" applyFont="1" applyBorder="1" applyAlignment="1">
      <alignment horizontal="center"/>
    </xf>
    <xf numFmtId="16" fontId="31" fillId="0" borderId="2" xfId="18" quotePrefix="1" applyNumberFormat="1" applyFont="1" applyBorder="1" applyAlignment="1">
      <alignment horizontal="center"/>
    </xf>
    <xf numFmtId="164" fontId="7" fillId="12" borderId="2" xfId="0" applyNumberFormat="1" applyFont="1" applyFill="1" applyBorder="1" applyAlignment="1">
      <alignment horizontal="center" vertical="center"/>
    </xf>
    <xf numFmtId="165" fontId="7" fillId="13" borderId="2" xfId="0" applyNumberFormat="1" applyFont="1" applyFill="1" applyBorder="1" applyAlignment="1">
      <alignment horizontal="center" vertical="center"/>
    </xf>
    <xf numFmtId="165" fontId="7" fillId="12" borderId="2" xfId="0" applyNumberFormat="1" applyFont="1" applyFill="1" applyBorder="1" applyAlignment="1">
      <alignment horizontal="center" vertical="center"/>
    </xf>
    <xf numFmtId="164" fontId="42" fillId="0" borderId="2" xfId="0" applyNumberFormat="1" applyFont="1" applyBorder="1" applyAlignment="1">
      <alignment horizontal="center" vertical="center"/>
    </xf>
    <xf numFmtId="165" fontId="42" fillId="0" borderId="2" xfId="0" applyNumberFormat="1" applyFont="1" applyBorder="1" applyAlignment="1">
      <alignment horizontal="center" vertical="center"/>
    </xf>
    <xf numFmtId="165" fontId="42" fillId="14" borderId="2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left" vertical="top"/>
    </xf>
    <xf numFmtId="49" fontId="32" fillId="0" borderId="2" xfId="0" applyNumberFormat="1" applyFont="1" applyBorder="1" applyAlignment="1">
      <alignment horizontal="left" vertical="top"/>
    </xf>
    <xf numFmtId="49" fontId="33" fillId="10" borderId="5" xfId="0" applyNumberFormat="1" applyFont="1" applyFill="1" applyBorder="1" applyAlignment="1">
      <alignment horizontal="left" vertical="top" wrapText="1"/>
    </xf>
    <xf numFmtId="0" fontId="35" fillId="0" borderId="2" xfId="0" applyFont="1" applyBorder="1" applyAlignment="1">
      <alignment horizontal="left" vertical="top"/>
    </xf>
    <xf numFmtId="0" fontId="39" fillId="0" borderId="0" xfId="0" applyFont="1" applyAlignment="1">
      <alignment horizontal="left" vertical="top"/>
    </xf>
    <xf numFmtId="4" fontId="28" fillId="0" borderId="2" xfId="19" applyNumberFormat="1" applyFont="1" applyBorder="1" applyAlignment="1">
      <alignment horizontal="right" vertical="center"/>
    </xf>
    <xf numFmtId="4" fontId="28" fillId="0" borderId="2" xfId="0" applyNumberFormat="1" applyFont="1" applyBorder="1" applyAlignment="1">
      <alignment horizontal="right" vertical="center"/>
    </xf>
    <xf numFmtId="4" fontId="11" fillId="0" borderId="2" xfId="0" applyNumberFormat="1" applyFont="1" applyBorder="1" applyAlignment="1">
      <alignment horizontal="center" vertical="center"/>
    </xf>
    <xf numFmtId="0" fontId="9" fillId="0" borderId="0" xfId="16" applyFont="1" applyAlignment="1">
      <alignment horizontal="right" vertical="top"/>
    </xf>
    <xf numFmtId="0" fontId="12" fillId="0" borderId="0" xfId="16" applyFont="1" applyAlignment="1">
      <alignment horizontal="center" vertical="top"/>
    </xf>
    <xf numFmtId="49" fontId="6" fillId="0" borderId="0" xfId="0" applyNumberFormat="1" applyFont="1" applyAlignment="1">
      <alignment horizontal="center" vertical="top" wrapText="1"/>
    </xf>
    <xf numFmtId="49" fontId="28" fillId="0" borderId="0" xfId="0" applyNumberFormat="1" applyFont="1" applyAlignment="1">
      <alignment horizontal="center" vertical="top" wrapText="1"/>
    </xf>
    <xf numFmtId="49" fontId="7" fillId="0" borderId="0" xfId="0" applyNumberFormat="1" applyFont="1" applyAlignment="1">
      <alignment horizontal="center" vertical="center" wrapText="1"/>
    </xf>
    <xf numFmtId="49" fontId="28" fillId="0" borderId="2" xfId="0" applyNumberFormat="1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49" fontId="32" fillId="0" borderId="2" xfId="0" applyNumberFormat="1" applyFont="1" applyBorder="1" applyAlignment="1">
      <alignment horizontal="center" vertical="center"/>
    </xf>
    <xf numFmtId="49" fontId="32" fillId="0" borderId="6" xfId="0" applyNumberFormat="1" applyFont="1" applyBorder="1" applyAlignment="1">
      <alignment horizontal="center" vertical="center"/>
    </xf>
    <xf numFmtId="49" fontId="32" fillId="0" borderId="7" xfId="0" applyNumberFormat="1" applyFont="1" applyBorder="1" applyAlignment="1">
      <alignment horizontal="center" vertical="center"/>
    </xf>
    <xf numFmtId="49" fontId="32" fillId="0" borderId="8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49" fontId="28" fillId="9" borderId="2" xfId="0" applyNumberFormat="1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top" wrapText="1"/>
    </xf>
    <xf numFmtId="14" fontId="28" fillId="0" borderId="2" xfId="0" applyNumberFormat="1" applyFont="1" applyBorder="1" applyAlignment="1">
      <alignment horizontal="center" vertical="top" wrapText="1"/>
    </xf>
    <xf numFmtId="14" fontId="28" fillId="0" borderId="2" xfId="0" applyNumberFormat="1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49" fontId="28" fillId="9" borderId="2" xfId="0" applyNumberFormat="1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left" vertical="center" wrapText="1"/>
    </xf>
    <xf numFmtId="0" fontId="38" fillId="0" borderId="2" xfId="18" applyFont="1" applyBorder="1" applyAlignment="1">
      <alignment horizontal="center"/>
    </xf>
    <xf numFmtId="0" fontId="30" fillId="0" borderId="2" xfId="18" applyFont="1" applyBorder="1" applyAlignment="1">
      <alignment horizontal="center" vertical="center"/>
    </xf>
    <xf numFmtId="0" fontId="40" fillId="0" borderId="2" xfId="18" applyFont="1" applyBorder="1" applyAlignment="1">
      <alignment horizontal="center" vertical="center"/>
    </xf>
    <xf numFmtId="0" fontId="31" fillId="0" borderId="2" xfId="18" applyFont="1" applyBorder="1" applyAlignment="1">
      <alignment vertical="center"/>
    </xf>
    <xf numFmtId="0" fontId="41" fillId="0" borderId="2" xfId="18" applyFont="1" applyBorder="1"/>
    <xf numFmtId="49" fontId="11" fillId="0" borderId="2" xfId="0" applyNumberFormat="1" applyFont="1" applyBorder="1" applyAlignment="1">
      <alignment horizontal="left" vertical="top" wrapText="1"/>
    </xf>
    <xf numFmtId="49" fontId="28" fillId="9" borderId="11" xfId="0" applyNumberFormat="1" applyFont="1" applyFill="1" applyBorder="1" applyAlignment="1">
      <alignment horizontal="right" vertical="center" wrapText="1"/>
    </xf>
    <xf numFmtId="49" fontId="28" fillId="9" borderId="12" xfId="0" applyNumberFormat="1" applyFont="1" applyFill="1" applyBorder="1" applyAlignment="1">
      <alignment horizontal="right" vertical="center" wrapText="1"/>
    </xf>
    <xf numFmtId="49" fontId="28" fillId="9" borderId="13" xfId="0" applyNumberFormat="1" applyFont="1" applyFill="1" applyBorder="1" applyAlignment="1">
      <alignment horizontal="right" vertical="center" wrapText="1"/>
    </xf>
    <xf numFmtId="0" fontId="19" fillId="3" borderId="2" xfId="7" applyBorder="1" applyAlignment="1" applyProtection="1">
      <alignment horizontal="center" vertical="top" wrapText="1"/>
    </xf>
    <xf numFmtId="0" fontId="19" fillId="3" borderId="2" xfId="7" applyBorder="1" applyAlignment="1" applyProtection="1">
      <alignment horizontal="center" vertical="top"/>
    </xf>
    <xf numFmtId="0" fontId="11" fillId="6" borderId="2" xfId="0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 vertical="top" wrapText="1"/>
    </xf>
    <xf numFmtId="0" fontId="11" fillId="6" borderId="2" xfId="0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right" vertical="center" wrapText="1"/>
    </xf>
    <xf numFmtId="0" fontId="5" fillId="6" borderId="2" xfId="1" applyFont="1" applyFill="1" applyBorder="1" applyAlignment="1">
      <alignment horizontal="center" vertical="center" wrapText="1"/>
    </xf>
    <xf numFmtId="2" fontId="5" fillId="6" borderId="2" xfId="1" applyNumberFormat="1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49" fontId="5" fillId="6" borderId="2" xfId="0" applyNumberFormat="1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wrapText="1"/>
    </xf>
    <xf numFmtId="0" fontId="7" fillId="6" borderId="0" xfId="0" applyFont="1" applyFill="1" applyAlignment="1">
      <alignment horizontal="right"/>
    </xf>
    <xf numFmtId="0" fontId="6" fillId="6" borderId="0" xfId="0" applyFont="1" applyFill="1" applyAlignment="1">
      <alignment horizontal="center" vertical="top" wrapText="1"/>
    </xf>
    <xf numFmtId="0" fontId="7" fillId="6" borderId="0" xfId="0" applyFont="1" applyFill="1" applyAlignment="1">
      <alignment horizontal="center" vertical="top" wrapText="1"/>
    </xf>
    <xf numFmtId="0" fontId="18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 wrapText="1"/>
    </xf>
  </cellXfs>
  <cellStyles count="20">
    <cellStyle name="Excel Built-in Bad" xfId="8" xr:uid="{00000000-0005-0000-0000-000000000000}"/>
    <cellStyle name="Excel Built-in Good" xfId="9" xr:uid="{00000000-0005-0000-0000-000001000000}"/>
    <cellStyle name="Excel Built-in Neutral" xfId="7" xr:uid="{00000000-0005-0000-0000-000002000000}"/>
    <cellStyle name="Excel Built-in Output" xfId="6" xr:uid="{00000000-0005-0000-0000-000003000000}"/>
    <cellStyle name="Обычный" xfId="0" builtinId="0"/>
    <cellStyle name="Обычный 2" xfId="1" xr:uid="{00000000-0005-0000-0000-000006000000}"/>
    <cellStyle name="Обычный 2 10 27 2 3 2 2" xfId="10" xr:uid="{00000000-0005-0000-0000-000007000000}"/>
    <cellStyle name="Обычный 2 10 27 3 2 2" xfId="2" xr:uid="{00000000-0005-0000-0000-000008000000}"/>
    <cellStyle name="Обычный 2 2" xfId="16" xr:uid="{00000000-0005-0000-0000-000009000000}"/>
    <cellStyle name="Обычный 2 99 7" xfId="3" xr:uid="{00000000-0005-0000-0000-00000A000000}"/>
    <cellStyle name="Обычный 3" xfId="4" xr:uid="{00000000-0005-0000-0000-00000B000000}"/>
    <cellStyle name="Обычный 3 2" xfId="5" xr:uid="{00000000-0005-0000-0000-00000C000000}"/>
    <cellStyle name="Обычный 4" xfId="11" xr:uid="{00000000-0005-0000-0000-00000D000000}"/>
    <cellStyle name="Обычный 4 2" xfId="17" xr:uid="{00000000-0005-0000-0000-00000E000000}"/>
    <cellStyle name="Обычный 4 4" xfId="19" xr:uid="{204D733B-974B-456F-A9A9-739E08F9F10B}"/>
    <cellStyle name="Обычный 6" xfId="18" xr:uid="{64F9D5C9-C63F-44CF-9B18-B77F28C76D72}"/>
    <cellStyle name="Финансовый 2" xfId="12" xr:uid="{00000000-0005-0000-0000-00000F000000}"/>
    <cellStyle name="Финансовый 2 2" xfId="15" xr:uid="{00000000-0005-0000-0000-000010000000}"/>
    <cellStyle name="Финансовый 2 3" xfId="13" xr:uid="{00000000-0005-0000-0000-000011000000}"/>
    <cellStyle name="Финансовый 3" xfId="14" xr:uid="{00000000-0005-0000-0000-00001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0A"/>
      <rgbColor rgb="FF9C6500"/>
      <rgbColor rgb="FF800080"/>
      <rgbColor rgb="FF008080"/>
      <rgbColor rgb="FFC0C0C0"/>
      <rgbColor rgb="FF808080"/>
      <rgbColor rgb="FF9999FF"/>
      <rgbColor rgb="FF7030A0"/>
      <rgbColor rgb="FFFFFFD7"/>
      <rgbColor rgb="FFF2F2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C6EFCE"/>
      <rgbColor rgb="FFFFEB9C"/>
      <rgbColor rgb="FF99CCFF"/>
      <rgbColor rgb="FFFF99CC"/>
      <rgbColor rgb="FFCC99FF"/>
      <rgbColor rgb="FFFFC7CE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F3F3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7"/>
  <sheetViews>
    <sheetView showGridLines="0" view="pageBreakPreview" zoomScale="85" zoomScaleNormal="85" zoomScaleSheetLayoutView="85" zoomScalePageLayoutView="115" workbookViewId="0">
      <selection activeCell="E22" sqref="E22:E24"/>
    </sheetView>
  </sheetViews>
  <sheetFormatPr defaultColWidth="9.109375" defaultRowHeight="13.8" x14ac:dyDescent="0.25"/>
  <cols>
    <col min="1" max="1" width="9.44140625" style="87" bestFit="1" customWidth="1"/>
    <col min="2" max="2" width="13.5546875" style="88" customWidth="1"/>
    <col min="3" max="3" width="11.109375" style="88" bestFit="1" customWidth="1"/>
    <col min="4" max="4" width="13.109375" style="88" customWidth="1"/>
    <col min="5" max="5" width="14.109375" style="88" customWidth="1"/>
    <col min="6" max="6" width="29.88671875" style="88" customWidth="1"/>
    <col min="7" max="9" width="9.109375" style="88"/>
    <col min="10" max="11" width="10.5546875" style="88" bestFit="1" customWidth="1"/>
    <col min="12" max="12" width="10.5546875" style="88" customWidth="1"/>
    <col min="13" max="14" width="13.5546875" style="88" bestFit="1" customWidth="1"/>
    <col min="15" max="15" width="12.33203125" style="88" customWidth="1"/>
    <col min="16" max="16384" width="9.109375" style="88"/>
  </cols>
  <sheetData>
    <row r="1" spans="1:16" x14ac:dyDescent="0.25">
      <c r="O1" s="89" t="s">
        <v>151</v>
      </c>
    </row>
    <row r="2" spans="1:16" x14ac:dyDescent="0.25">
      <c r="O2" s="89" t="s">
        <v>152</v>
      </c>
    </row>
    <row r="4" spans="1:16" x14ac:dyDescent="0.25">
      <c r="A4" s="90" t="s">
        <v>13</v>
      </c>
      <c r="O4" s="91" t="s">
        <v>153</v>
      </c>
    </row>
    <row r="5" spans="1:16" x14ac:dyDescent="0.25">
      <c r="A5" s="92"/>
      <c r="N5" s="142" t="s">
        <v>154</v>
      </c>
      <c r="O5" s="142"/>
    </row>
    <row r="6" spans="1:16" x14ac:dyDescent="0.25">
      <c r="A6" s="92"/>
      <c r="O6" s="93" t="s">
        <v>155</v>
      </c>
    </row>
    <row r="7" spans="1:16" x14ac:dyDescent="0.25">
      <c r="A7" s="92" t="s">
        <v>156</v>
      </c>
      <c r="O7" s="93" t="s">
        <v>157</v>
      </c>
    </row>
    <row r="8" spans="1:16" x14ac:dyDescent="0.25">
      <c r="A8" s="92" t="s">
        <v>158</v>
      </c>
      <c r="B8" s="92"/>
      <c r="C8" s="93"/>
      <c r="D8" s="94"/>
      <c r="G8" s="94"/>
      <c r="H8" s="94"/>
      <c r="I8" s="94"/>
      <c r="J8" s="94"/>
      <c r="N8" s="95"/>
      <c r="O8" s="93" t="s">
        <v>159</v>
      </c>
    </row>
    <row r="9" spans="1:16" x14ac:dyDescent="0.25">
      <c r="A9" s="92"/>
      <c r="B9" s="92"/>
      <c r="C9" s="93"/>
      <c r="D9" s="94"/>
      <c r="G9" s="94"/>
      <c r="H9" s="94"/>
      <c r="I9" s="94"/>
      <c r="J9" s="94"/>
      <c r="N9" s="95"/>
      <c r="O9" s="94"/>
    </row>
    <row r="10" spans="1:16" x14ac:dyDescent="0.25">
      <c r="A10" s="92"/>
      <c r="B10" s="92"/>
      <c r="C10" s="93"/>
      <c r="D10" s="94"/>
      <c r="E10" s="95"/>
      <c r="F10" s="94"/>
      <c r="G10" s="94"/>
      <c r="H10" s="94"/>
      <c r="I10" s="94"/>
      <c r="J10" s="94"/>
    </row>
    <row r="11" spans="1:16" x14ac:dyDescent="0.25">
      <c r="A11" s="143"/>
      <c r="B11" s="143"/>
      <c r="C11" s="143"/>
      <c r="D11" s="143"/>
      <c r="E11" s="143"/>
      <c r="F11" s="143"/>
      <c r="G11" s="94"/>
      <c r="H11" s="94"/>
      <c r="I11" s="94"/>
      <c r="J11" s="94"/>
    </row>
    <row r="12" spans="1:16" customFormat="1" ht="17.399999999999999" x14ac:dyDescent="0.25">
      <c r="A12" s="144" t="s">
        <v>160</v>
      </c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</row>
    <row r="13" spans="1:16" customFormat="1" ht="15.6" x14ac:dyDescent="0.25">
      <c r="A13" s="145" t="s">
        <v>161</v>
      </c>
      <c r="B13" s="145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</row>
    <row r="14" spans="1:16" customFormat="1" ht="28.5" customHeight="1" x14ac:dyDescent="0.25">
      <c r="A14" s="146" t="s">
        <v>162</v>
      </c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</row>
    <row r="15" spans="1:16" customFormat="1" ht="15.6" x14ac:dyDescent="0.25">
      <c r="A15" s="147" t="s">
        <v>163</v>
      </c>
      <c r="B15" s="147"/>
      <c r="C15" s="147"/>
      <c r="D15" s="147"/>
      <c r="E15" s="147"/>
      <c r="F15" s="147"/>
      <c r="G15" s="147"/>
      <c r="H15" s="148" t="s">
        <v>164</v>
      </c>
      <c r="I15" s="148"/>
      <c r="J15" s="148"/>
      <c r="K15" s="148"/>
      <c r="L15" s="148"/>
      <c r="M15" s="148"/>
      <c r="N15" s="148"/>
      <c r="O15" s="148"/>
      <c r="P15" s="148"/>
    </row>
    <row r="16" spans="1:16" customFormat="1" ht="15.6" x14ac:dyDescent="0.25">
      <c r="A16" s="147"/>
      <c r="B16" s="147"/>
      <c r="C16" s="147"/>
      <c r="D16" s="147"/>
      <c r="E16" s="147"/>
      <c r="F16" s="147"/>
      <c r="G16" s="147"/>
      <c r="H16" s="148" t="s">
        <v>165</v>
      </c>
      <c r="I16" s="148"/>
      <c r="J16" s="148"/>
      <c r="K16" s="148"/>
      <c r="L16" s="148"/>
      <c r="M16" s="148"/>
      <c r="N16" s="148"/>
      <c r="O16" s="148"/>
      <c r="P16" s="148"/>
    </row>
    <row r="17" spans="1:16" customFormat="1" ht="15.6" x14ac:dyDescent="0.25">
      <c r="A17" s="147"/>
      <c r="B17" s="147"/>
      <c r="C17" s="147"/>
      <c r="D17" s="147"/>
      <c r="E17" s="147"/>
      <c r="F17" s="147"/>
      <c r="G17" s="147"/>
      <c r="H17" s="148" t="s">
        <v>166</v>
      </c>
      <c r="I17" s="148"/>
      <c r="J17" s="148"/>
      <c r="K17" s="148"/>
      <c r="L17" s="148"/>
      <c r="M17" s="148"/>
      <c r="N17" s="148"/>
      <c r="O17" s="148"/>
      <c r="P17" s="148"/>
    </row>
    <row r="18" spans="1:16" customFormat="1" ht="15.6" x14ac:dyDescent="0.25">
      <c r="A18" s="147"/>
      <c r="B18" s="147"/>
      <c r="C18" s="147"/>
      <c r="D18" s="147"/>
      <c r="E18" s="147"/>
      <c r="F18" s="147"/>
      <c r="G18" s="147"/>
      <c r="H18" s="148" t="s">
        <v>167</v>
      </c>
      <c r="I18" s="148"/>
      <c r="J18" s="148"/>
      <c r="K18" s="148"/>
      <c r="L18" s="148"/>
      <c r="M18" s="148"/>
      <c r="N18" s="148"/>
      <c r="O18" s="148"/>
      <c r="P18" s="148"/>
    </row>
    <row r="19" spans="1:16" customFormat="1" ht="15.6" x14ac:dyDescent="0.25">
      <c r="A19" s="147"/>
      <c r="B19" s="147"/>
      <c r="C19" s="147"/>
      <c r="D19" s="147"/>
      <c r="E19" s="147"/>
      <c r="F19" s="147"/>
      <c r="G19" s="147"/>
      <c r="H19" s="148" t="s">
        <v>168</v>
      </c>
      <c r="I19" s="148"/>
      <c r="J19" s="148"/>
      <c r="K19" s="148"/>
      <c r="L19" s="148"/>
      <c r="M19" s="148"/>
      <c r="N19" s="148"/>
      <c r="O19" s="148"/>
      <c r="P19" s="148"/>
    </row>
    <row r="20" spans="1:16" customFormat="1" ht="15.6" x14ac:dyDescent="0.25">
      <c r="A20" s="147"/>
      <c r="B20" s="147"/>
      <c r="C20" s="147"/>
      <c r="D20" s="147"/>
      <c r="E20" s="147"/>
      <c r="F20" s="147"/>
      <c r="G20" s="147"/>
      <c r="H20" s="148" t="s">
        <v>169</v>
      </c>
      <c r="I20" s="148"/>
      <c r="J20" s="148"/>
      <c r="K20" s="148"/>
      <c r="L20" s="148"/>
      <c r="M20" s="148"/>
      <c r="N20" s="148"/>
      <c r="O20" s="148"/>
      <c r="P20" s="148"/>
    </row>
    <row r="21" spans="1:16" customFormat="1" ht="15.6" x14ac:dyDescent="0.25">
      <c r="A21" s="148" t="s">
        <v>170</v>
      </c>
      <c r="B21" s="148"/>
      <c r="C21" s="148"/>
      <c r="D21" s="148"/>
      <c r="E21" s="148"/>
      <c r="F21" s="148"/>
      <c r="G21" s="148"/>
      <c r="H21" s="148" t="s">
        <v>171</v>
      </c>
      <c r="I21" s="148"/>
      <c r="J21" s="148"/>
      <c r="K21" s="148"/>
      <c r="L21" s="148"/>
      <c r="M21" s="148"/>
      <c r="N21" s="148"/>
      <c r="O21" s="148"/>
      <c r="P21" s="148"/>
    </row>
    <row r="22" spans="1:16" customFormat="1" ht="15.6" x14ac:dyDescent="0.25">
      <c r="A22" s="149" t="s">
        <v>0</v>
      </c>
      <c r="B22" s="149" t="s">
        <v>172</v>
      </c>
      <c r="C22" s="150" t="s">
        <v>173</v>
      </c>
      <c r="D22" s="150" t="s">
        <v>174</v>
      </c>
      <c r="E22" s="150" t="s">
        <v>175</v>
      </c>
      <c r="F22" s="153" t="s">
        <v>1</v>
      </c>
      <c r="G22" s="153" t="s">
        <v>176</v>
      </c>
      <c r="H22" s="153" t="s">
        <v>120</v>
      </c>
      <c r="I22" s="153" t="s">
        <v>2</v>
      </c>
      <c r="J22" s="147" t="s">
        <v>177</v>
      </c>
      <c r="K22" s="147"/>
      <c r="L22" s="147"/>
      <c r="M22" s="147" t="s">
        <v>178</v>
      </c>
      <c r="N22" s="147"/>
      <c r="O22" s="147"/>
      <c r="P22" s="153" t="s">
        <v>3</v>
      </c>
    </row>
    <row r="23" spans="1:16" customFormat="1" ht="13.2" x14ac:dyDescent="0.25">
      <c r="A23" s="149"/>
      <c r="B23" s="149"/>
      <c r="C23" s="151"/>
      <c r="D23" s="151"/>
      <c r="E23" s="151"/>
      <c r="F23" s="153"/>
      <c r="G23" s="153"/>
      <c r="H23" s="153"/>
      <c r="I23" s="153"/>
      <c r="J23" s="153" t="s">
        <v>4</v>
      </c>
      <c r="K23" s="154" t="s">
        <v>5</v>
      </c>
      <c r="L23" s="154"/>
      <c r="M23" s="153" t="s">
        <v>4</v>
      </c>
      <c r="N23" s="154" t="s">
        <v>5</v>
      </c>
      <c r="O23" s="154"/>
      <c r="P23" s="153"/>
    </row>
    <row r="24" spans="1:16" customFormat="1" ht="26.4" x14ac:dyDescent="0.25">
      <c r="A24" s="149"/>
      <c r="B24" s="149"/>
      <c r="C24" s="152"/>
      <c r="D24" s="152"/>
      <c r="E24" s="152"/>
      <c r="F24" s="153"/>
      <c r="G24" s="153"/>
      <c r="H24" s="153"/>
      <c r="I24" s="153"/>
      <c r="J24" s="153"/>
      <c r="K24" s="96" t="s">
        <v>6</v>
      </c>
      <c r="L24" s="96" t="s">
        <v>7</v>
      </c>
      <c r="M24" s="153"/>
      <c r="N24" s="96" t="s">
        <v>6</v>
      </c>
      <c r="O24" s="96" t="s">
        <v>7</v>
      </c>
      <c r="P24" s="153"/>
    </row>
    <row r="25" spans="1:16" customFormat="1" ht="13.2" x14ac:dyDescent="0.25">
      <c r="A25" s="97">
        <v>1</v>
      </c>
      <c r="B25" s="98">
        <v>2</v>
      </c>
      <c r="C25" s="97">
        <v>3</v>
      </c>
      <c r="D25" s="98">
        <v>4</v>
      </c>
      <c r="E25" s="97">
        <v>5</v>
      </c>
      <c r="F25" s="98">
        <v>6</v>
      </c>
      <c r="G25" s="97">
        <v>7</v>
      </c>
      <c r="H25" s="98">
        <v>8</v>
      </c>
      <c r="I25" s="97">
        <v>9</v>
      </c>
      <c r="J25" s="98">
        <v>10</v>
      </c>
      <c r="K25" s="97">
        <v>11</v>
      </c>
      <c r="L25" s="98">
        <v>12</v>
      </c>
      <c r="M25" s="97">
        <v>13</v>
      </c>
      <c r="N25" s="98">
        <v>14</v>
      </c>
      <c r="O25" s="97">
        <v>15</v>
      </c>
      <c r="P25" s="98">
        <v>16</v>
      </c>
    </row>
    <row r="26" spans="1:16" customFormat="1" ht="23.25" customHeight="1" x14ac:dyDescent="0.25">
      <c r="A26" s="99" t="s">
        <v>8</v>
      </c>
      <c r="B26" s="100" t="s">
        <v>8</v>
      </c>
      <c r="C26" s="100" t="s">
        <v>179</v>
      </c>
      <c r="D26" s="100"/>
      <c r="E26" s="100"/>
      <c r="F26" s="101" t="s">
        <v>124</v>
      </c>
      <c r="G26" s="102" t="s">
        <v>35</v>
      </c>
      <c r="H26" s="103"/>
      <c r="I26" s="104">
        <v>1119.4100000000001</v>
      </c>
      <c r="J26" s="105"/>
      <c r="K26" s="105"/>
      <c r="L26" s="105"/>
      <c r="M26" s="105"/>
      <c r="N26" s="105"/>
      <c r="O26" s="105"/>
      <c r="P26" s="106"/>
    </row>
    <row r="27" spans="1:16" customFormat="1" ht="15.6" x14ac:dyDescent="0.3">
      <c r="A27" s="107">
        <v>2</v>
      </c>
      <c r="B27" s="108"/>
      <c r="C27" s="108"/>
      <c r="D27" s="108"/>
      <c r="E27" s="108"/>
      <c r="F27" s="108" t="s">
        <v>145</v>
      </c>
      <c r="G27" s="109" t="s">
        <v>70</v>
      </c>
      <c r="H27" s="109">
        <v>2</v>
      </c>
      <c r="I27" s="109">
        <v>2238.8200000000002</v>
      </c>
      <c r="J27" s="110"/>
      <c r="K27" s="110"/>
      <c r="L27" s="110"/>
      <c r="M27" s="111"/>
      <c r="N27" s="111"/>
      <c r="O27" s="111"/>
      <c r="P27" s="112"/>
    </row>
    <row r="28" spans="1:16" customFormat="1" ht="23.25" customHeight="1" x14ac:dyDescent="0.25">
      <c r="A28" s="99">
        <v>3</v>
      </c>
      <c r="B28" s="100" t="s">
        <v>180</v>
      </c>
      <c r="C28" s="100" t="s">
        <v>179</v>
      </c>
      <c r="D28" s="100"/>
      <c r="E28" s="100"/>
      <c r="F28" s="101" t="s">
        <v>138</v>
      </c>
      <c r="G28" s="102" t="s">
        <v>101</v>
      </c>
      <c r="H28" s="103"/>
      <c r="I28" s="104">
        <v>98.52</v>
      </c>
      <c r="J28" s="105"/>
      <c r="K28" s="105"/>
      <c r="L28" s="105"/>
      <c r="M28" s="105"/>
      <c r="N28" s="105"/>
      <c r="O28" s="105"/>
      <c r="P28" s="106"/>
    </row>
    <row r="29" spans="1:16" customFormat="1" ht="36" customHeight="1" x14ac:dyDescent="0.3">
      <c r="A29" s="107">
        <v>4</v>
      </c>
      <c r="B29" s="108"/>
      <c r="C29" s="108"/>
      <c r="D29" s="108"/>
      <c r="E29" s="108"/>
      <c r="F29" s="108" t="s">
        <v>147</v>
      </c>
      <c r="G29" s="109" t="s">
        <v>101</v>
      </c>
      <c r="H29" s="109">
        <v>1.05</v>
      </c>
      <c r="I29" s="109">
        <v>103.45</v>
      </c>
      <c r="J29" s="110"/>
      <c r="K29" s="110"/>
      <c r="L29" s="110"/>
      <c r="M29" s="111"/>
      <c r="N29" s="111"/>
      <c r="O29" s="111"/>
      <c r="P29" s="112"/>
    </row>
    <row r="30" spans="1:16" customFormat="1" ht="23.25" customHeight="1" x14ac:dyDescent="0.25">
      <c r="A30" s="99">
        <v>5</v>
      </c>
      <c r="B30" s="100" t="s">
        <v>10</v>
      </c>
      <c r="C30" s="100" t="s">
        <v>179</v>
      </c>
      <c r="D30" s="100"/>
      <c r="E30" s="100"/>
      <c r="F30" s="101" t="s">
        <v>149</v>
      </c>
      <c r="G30" s="102" t="s">
        <v>35</v>
      </c>
      <c r="H30" s="103"/>
      <c r="I30" s="104">
        <v>1119.4100000000001</v>
      </c>
      <c r="J30" s="105"/>
      <c r="K30" s="105"/>
      <c r="L30" s="105"/>
      <c r="M30" s="105"/>
      <c r="N30" s="105"/>
      <c r="O30" s="105"/>
      <c r="P30" s="106"/>
    </row>
    <row r="31" spans="1:16" customFormat="1" ht="31.2" x14ac:dyDescent="0.3">
      <c r="A31" s="107">
        <v>6</v>
      </c>
      <c r="B31" s="108"/>
      <c r="C31" s="108"/>
      <c r="D31" s="108"/>
      <c r="E31" s="108"/>
      <c r="F31" s="108" t="s">
        <v>148</v>
      </c>
      <c r="G31" s="109" t="s">
        <v>70</v>
      </c>
      <c r="H31" s="109">
        <v>3</v>
      </c>
      <c r="I31" s="109">
        <v>3358.23</v>
      </c>
      <c r="J31" s="110"/>
      <c r="K31" s="110"/>
      <c r="L31" s="110"/>
      <c r="M31" s="111"/>
      <c r="N31" s="111"/>
      <c r="O31" s="111"/>
      <c r="P31" s="112"/>
    </row>
    <row r="32" spans="1:16" customFormat="1" ht="23.25" customHeight="1" x14ac:dyDescent="0.25">
      <c r="A32" s="99">
        <v>7</v>
      </c>
      <c r="B32" s="100" t="s">
        <v>49</v>
      </c>
      <c r="C32" s="100" t="s">
        <v>179</v>
      </c>
      <c r="D32" s="100"/>
      <c r="E32" s="100"/>
      <c r="F32" s="101" t="s">
        <v>121</v>
      </c>
      <c r="G32" s="102" t="s">
        <v>122</v>
      </c>
      <c r="H32" s="103"/>
      <c r="I32" s="104">
        <v>2799</v>
      </c>
      <c r="J32" s="105"/>
      <c r="K32" s="105"/>
      <c r="L32" s="105"/>
      <c r="M32" s="105"/>
      <c r="N32" s="105"/>
      <c r="O32" s="105"/>
      <c r="P32" s="106"/>
    </row>
    <row r="33" spans="1:16" customFormat="1" ht="15.6" x14ac:dyDescent="0.3">
      <c r="A33" s="107">
        <v>8</v>
      </c>
      <c r="B33" s="108"/>
      <c r="C33" s="108"/>
      <c r="D33" s="108"/>
      <c r="E33" s="108"/>
      <c r="F33" s="108" t="s">
        <v>140</v>
      </c>
      <c r="G33" s="109" t="s">
        <v>70</v>
      </c>
      <c r="H33" s="109">
        <v>0.3</v>
      </c>
      <c r="I33" s="109">
        <v>839.7</v>
      </c>
      <c r="J33" s="110"/>
      <c r="K33" s="110"/>
      <c r="L33" s="110"/>
      <c r="M33" s="111"/>
      <c r="N33" s="111"/>
      <c r="O33" s="111"/>
      <c r="P33" s="112"/>
    </row>
    <row r="34" spans="1:16" customFormat="1" ht="15.6" x14ac:dyDescent="0.3">
      <c r="A34" s="107">
        <v>9</v>
      </c>
      <c r="B34" s="108"/>
      <c r="C34" s="108"/>
      <c r="D34" s="108"/>
      <c r="E34" s="108"/>
      <c r="F34" s="108" t="s">
        <v>125</v>
      </c>
      <c r="G34" s="109" t="s">
        <v>70</v>
      </c>
      <c r="H34" s="109">
        <v>0.1</v>
      </c>
      <c r="I34" s="109">
        <v>279.89999999999998</v>
      </c>
      <c r="J34" s="110"/>
      <c r="K34" s="110"/>
      <c r="L34" s="110"/>
      <c r="M34" s="111"/>
      <c r="N34" s="111"/>
      <c r="O34" s="111"/>
      <c r="P34" s="112"/>
    </row>
    <row r="35" spans="1:16" customFormat="1" ht="23.25" customHeight="1" x14ac:dyDescent="0.25">
      <c r="A35" s="99">
        <v>10</v>
      </c>
      <c r="B35" s="100" t="s">
        <v>181</v>
      </c>
      <c r="C35" s="100" t="s">
        <v>179</v>
      </c>
      <c r="D35" s="100"/>
      <c r="E35" s="100"/>
      <c r="F35" s="101" t="s">
        <v>137</v>
      </c>
      <c r="G35" s="102" t="s">
        <v>101</v>
      </c>
      <c r="H35" s="103"/>
      <c r="I35" s="104">
        <v>290.64999999999998</v>
      </c>
      <c r="J35" s="105"/>
      <c r="K35" s="105"/>
      <c r="L35" s="105"/>
      <c r="M35" s="105"/>
      <c r="N35" s="105"/>
      <c r="O35" s="105"/>
      <c r="P35" s="106"/>
    </row>
    <row r="36" spans="1:16" customFormat="1" ht="31.2" x14ac:dyDescent="0.3">
      <c r="A36" s="107">
        <v>11</v>
      </c>
      <c r="B36" s="108"/>
      <c r="C36" s="108"/>
      <c r="D36" s="108"/>
      <c r="E36" s="108"/>
      <c r="F36" s="108" t="s">
        <v>146</v>
      </c>
      <c r="G36" s="109" t="s">
        <v>101</v>
      </c>
      <c r="H36" s="109">
        <v>1.05</v>
      </c>
      <c r="I36" s="109">
        <v>305.18</v>
      </c>
      <c r="J36" s="110"/>
      <c r="K36" s="110"/>
      <c r="L36" s="110"/>
      <c r="M36" s="111"/>
      <c r="N36" s="111"/>
      <c r="O36" s="111"/>
      <c r="P36" s="112"/>
    </row>
    <row r="37" spans="1:16" customFormat="1" ht="23.25" customHeight="1" x14ac:dyDescent="0.25">
      <c r="A37" s="99">
        <v>12</v>
      </c>
      <c r="B37" s="100" t="s">
        <v>182</v>
      </c>
      <c r="C37" s="100" t="s">
        <v>179</v>
      </c>
      <c r="D37" s="100"/>
      <c r="E37" s="100"/>
      <c r="F37" s="101" t="s">
        <v>130</v>
      </c>
      <c r="G37" s="102" t="s">
        <v>101</v>
      </c>
      <c r="H37" s="103"/>
      <c r="I37" s="104">
        <v>38.67</v>
      </c>
      <c r="J37" s="105"/>
      <c r="K37" s="105"/>
      <c r="L37" s="105"/>
      <c r="M37" s="105"/>
      <c r="N37" s="105"/>
      <c r="O37" s="105"/>
      <c r="P37" s="106"/>
    </row>
    <row r="38" spans="1:16" customFormat="1" ht="15.6" x14ac:dyDescent="0.3">
      <c r="A38" s="107">
        <v>13</v>
      </c>
      <c r="B38" s="108"/>
      <c r="C38" s="108"/>
      <c r="D38" s="108"/>
      <c r="E38" s="108"/>
      <c r="F38" s="108" t="s">
        <v>140</v>
      </c>
      <c r="G38" s="109" t="s">
        <v>70</v>
      </c>
      <c r="H38" s="109">
        <v>3</v>
      </c>
      <c r="I38" s="109">
        <v>116.01</v>
      </c>
      <c r="J38" s="110"/>
      <c r="K38" s="110"/>
      <c r="L38" s="110"/>
      <c r="M38" s="111"/>
      <c r="N38" s="111"/>
      <c r="O38" s="111"/>
      <c r="P38" s="112"/>
    </row>
    <row r="39" spans="1:16" customFormat="1" ht="15.6" x14ac:dyDescent="0.3">
      <c r="A39" s="107">
        <v>14</v>
      </c>
      <c r="B39" s="108"/>
      <c r="C39" s="108"/>
      <c r="D39" s="108"/>
      <c r="E39" s="108"/>
      <c r="F39" s="108" t="s">
        <v>144</v>
      </c>
      <c r="G39" s="109" t="s">
        <v>70</v>
      </c>
      <c r="H39" s="109">
        <v>0.8</v>
      </c>
      <c r="I39" s="109">
        <v>30.94</v>
      </c>
      <c r="J39" s="110"/>
      <c r="K39" s="110"/>
      <c r="L39" s="110"/>
      <c r="M39" s="111"/>
      <c r="N39" s="111"/>
      <c r="O39" s="111"/>
      <c r="P39" s="112"/>
    </row>
    <row r="40" spans="1:16" customFormat="1" ht="23.25" customHeight="1" x14ac:dyDescent="0.25">
      <c r="A40" s="99">
        <v>15</v>
      </c>
      <c r="B40" s="100" t="s">
        <v>183</v>
      </c>
      <c r="C40" s="100" t="s">
        <v>179</v>
      </c>
      <c r="D40" s="100"/>
      <c r="E40" s="100"/>
      <c r="F40" s="101" t="s">
        <v>150</v>
      </c>
      <c r="G40" s="102" t="s">
        <v>101</v>
      </c>
      <c r="H40" s="103"/>
      <c r="I40" s="104">
        <v>594.9</v>
      </c>
      <c r="J40" s="105"/>
      <c r="K40" s="105"/>
      <c r="L40" s="105"/>
      <c r="M40" s="105"/>
      <c r="N40" s="105"/>
      <c r="O40" s="105"/>
      <c r="P40" s="106"/>
    </row>
    <row r="41" spans="1:16" customFormat="1" ht="15.6" x14ac:dyDescent="0.3">
      <c r="A41" s="107">
        <v>16</v>
      </c>
      <c r="B41" s="108"/>
      <c r="C41" s="108"/>
      <c r="D41" s="108"/>
      <c r="E41" s="108"/>
      <c r="F41" s="108" t="s">
        <v>144</v>
      </c>
      <c r="G41" s="109" t="s">
        <v>70</v>
      </c>
      <c r="H41" s="109">
        <v>0.8</v>
      </c>
      <c r="I41" s="109">
        <v>475.92</v>
      </c>
      <c r="J41" s="110"/>
      <c r="K41" s="110"/>
      <c r="L41" s="110"/>
      <c r="M41" s="111"/>
      <c r="N41" s="111"/>
      <c r="O41" s="111"/>
      <c r="P41" s="112"/>
    </row>
    <row r="42" spans="1:16" customFormat="1" ht="15.6" x14ac:dyDescent="0.3">
      <c r="A42" s="107">
        <v>17</v>
      </c>
      <c r="B42" s="108"/>
      <c r="C42" s="108"/>
      <c r="D42" s="108"/>
      <c r="E42" s="108"/>
      <c r="F42" s="108" t="s">
        <v>140</v>
      </c>
      <c r="G42" s="109" t="s">
        <v>70</v>
      </c>
      <c r="H42" s="109">
        <v>3</v>
      </c>
      <c r="I42" s="109">
        <v>1784.7</v>
      </c>
      <c r="J42" s="110"/>
      <c r="K42" s="110"/>
      <c r="L42" s="110"/>
      <c r="M42" s="111"/>
      <c r="N42" s="111"/>
      <c r="O42" s="111"/>
      <c r="P42" s="112"/>
    </row>
    <row r="43" spans="1:16" customFormat="1" ht="23.25" customHeight="1" x14ac:dyDescent="0.25">
      <c r="A43" s="99">
        <v>18</v>
      </c>
      <c r="B43" s="100" t="s">
        <v>10</v>
      </c>
      <c r="C43" s="100" t="s">
        <v>179</v>
      </c>
      <c r="D43" s="100"/>
      <c r="E43" s="100"/>
      <c r="F43" s="101" t="s">
        <v>135</v>
      </c>
      <c r="G43" s="102" t="s">
        <v>35</v>
      </c>
      <c r="H43" s="103"/>
      <c r="I43" s="104">
        <v>1119.4100000000001</v>
      </c>
      <c r="J43" s="105"/>
      <c r="K43" s="105"/>
      <c r="L43" s="105"/>
      <c r="M43" s="105"/>
      <c r="N43" s="105"/>
      <c r="O43" s="105"/>
      <c r="P43" s="106"/>
    </row>
    <row r="44" spans="1:16" customFormat="1" ht="31.2" x14ac:dyDescent="0.3">
      <c r="A44" s="107">
        <v>19</v>
      </c>
      <c r="B44" s="108"/>
      <c r="C44" s="108"/>
      <c r="D44" s="108"/>
      <c r="E44" s="108"/>
      <c r="F44" s="108" t="s">
        <v>126</v>
      </c>
      <c r="G44" s="109" t="s">
        <v>35</v>
      </c>
      <c r="H44" s="109">
        <v>1.1499999999999999</v>
      </c>
      <c r="I44" s="109">
        <v>1287.32</v>
      </c>
      <c r="J44" s="110"/>
      <c r="K44" s="110"/>
      <c r="L44" s="110"/>
      <c r="M44" s="111"/>
      <c r="N44" s="111"/>
      <c r="O44" s="111"/>
      <c r="P44" s="112"/>
    </row>
    <row r="45" spans="1:16" customFormat="1" ht="15.6" x14ac:dyDescent="0.3">
      <c r="A45" s="107">
        <v>20</v>
      </c>
      <c r="B45" s="108"/>
      <c r="C45" s="108"/>
      <c r="D45" s="108"/>
      <c r="E45" s="108"/>
      <c r="F45" s="108" t="s">
        <v>131</v>
      </c>
      <c r="G45" s="109" t="s">
        <v>123</v>
      </c>
      <c r="H45" s="109">
        <v>1</v>
      </c>
      <c r="I45" s="109">
        <v>709</v>
      </c>
      <c r="J45" s="110"/>
      <c r="K45" s="110"/>
      <c r="L45" s="110"/>
      <c r="M45" s="111"/>
      <c r="N45" s="111"/>
      <c r="O45" s="111"/>
      <c r="P45" s="112"/>
    </row>
    <row r="46" spans="1:16" customFormat="1" ht="23.25" customHeight="1" x14ac:dyDescent="0.25">
      <c r="A46" s="99">
        <v>21</v>
      </c>
      <c r="B46" s="100"/>
      <c r="C46" s="100" t="s">
        <v>179</v>
      </c>
      <c r="D46" s="100"/>
      <c r="E46" s="100"/>
      <c r="F46" s="101" t="s">
        <v>136</v>
      </c>
      <c r="G46" s="102" t="s">
        <v>35</v>
      </c>
      <c r="H46" s="103"/>
      <c r="I46" s="104">
        <v>170</v>
      </c>
      <c r="J46" s="105"/>
      <c r="K46" s="105"/>
      <c r="L46" s="105"/>
      <c r="M46" s="105"/>
      <c r="N46" s="105"/>
      <c r="O46" s="105"/>
      <c r="P46" s="106"/>
    </row>
    <row r="47" spans="1:16" customFormat="1" ht="15.6" x14ac:dyDescent="0.3">
      <c r="A47" s="107">
        <v>22</v>
      </c>
      <c r="B47" s="108"/>
      <c r="C47" s="108"/>
      <c r="D47" s="108"/>
      <c r="E47" s="108"/>
      <c r="F47" s="108" t="s">
        <v>128</v>
      </c>
      <c r="G47" s="109" t="s">
        <v>9</v>
      </c>
      <c r="H47" s="109">
        <v>1.1000000000000001</v>
      </c>
      <c r="I47" s="109">
        <v>67.319999999999993</v>
      </c>
      <c r="J47" s="110"/>
      <c r="K47" s="110"/>
      <c r="L47" s="110"/>
      <c r="M47" s="111"/>
      <c r="N47" s="111"/>
      <c r="O47" s="111"/>
      <c r="P47" s="112"/>
    </row>
    <row r="48" spans="1:16" customFormat="1" ht="15.6" x14ac:dyDescent="0.3">
      <c r="A48" s="107">
        <v>23</v>
      </c>
      <c r="B48" s="108"/>
      <c r="C48" s="108"/>
      <c r="D48" s="108"/>
      <c r="E48" s="108"/>
      <c r="F48" s="108" t="s">
        <v>129</v>
      </c>
      <c r="G48" s="109" t="s">
        <v>132</v>
      </c>
      <c r="H48" s="109">
        <v>0.1</v>
      </c>
      <c r="I48" s="109">
        <v>17</v>
      </c>
      <c r="J48" s="110"/>
      <c r="K48" s="110"/>
      <c r="L48" s="110"/>
      <c r="M48" s="111"/>
      <c r="N48" s="111"/>
      <c r="O48" s="111"/>
      <c r="P48" s="112"/>
    </row>
    <row r="49" spans="1:16" customFormat="1" ht="23.25" customHeight="1" x14ac:dyDescent="0.25">
      <c r="A49" s="99">
        <v>24</v>
      </c>
      <c r="B49" s="100"/>
      <c r="C49" s="100" t="s">
        <v>184</v>
      </c>
      <c r="D49" s="100"/>
      <c r="E49" s="100"/>
      <c r="F49" s="101" t="s">
        <v>127</v>
      </c>
      <c r="G49" s="102" t="s">
        <v>35</v>
      </c>
      <c r="H49" s="103"/>
      <c r="I49" s="104">
        <v>170</v>
      </c>
      <c r="J49" s="105"/>
      <c r="K49" s="105"/>
      <c r="L49" s="105"/>
      <c r="M49" s="105"/>
      <c r="N49" s="105"/>
      <c r="O49" s="105"/>
      <c r="P49" s="106"/>
    </row>
    <row r="50" spans="1:16" customFormat="1" ht="46.8" x14ac:dyDescent="0.3">
      <c r="A50" s="107">
        <v>25</v>
      </c>
      <c r="B50" s="108"/>
      <c r="C50" s="108"/>
      <c r="D50" s="108"/>
      <c r="E50" s="108"/>
      <c r="F50" s="108" t="s">
        <v>143</v>
      </c>
      <c r="G50" s="109" t="s">
        <v>35</v>
      </c>
      <c r="H50" s="109">
        <v>1.05</v>
      </c>
      <c r="I50" s="109">
        <v>152.09</v>
      </c>
      <c r="J50" s="110"/>
      <c r="K50" s="110"/>
      <c r="L50" s="110"/>
      <c r="M50" s="111"/>
      <c r="N50" s="111"/>
      <c r="O50" s="111"/>
      <c r="P50" s="112"/>
    </row>
    <row r="51" spans="1:16" customFormat="1" ht="15.6" x14ac:dyDescent="0.3">
      <c r="A51" s="107">
        <v>26</v>
      </c>
      <c r="B51" s="108"/>
      <c r="C51" s="108"/>
      <c r="D51" s="108"/>
      <c r="E51" s="108"/>
      <c r="F51" s="108" t="s">
        <v>129</v>
      </c>
      <c r="G51" s="109" t="s">
        <v>132</v>
      </c>
      <c r="H51" s="109">
        <v>0.13</v>
      </c>
      <c r="I51" s="109">
        <v>21</v>
      </c>
      <c r="J51" s="110"/>
      <c r="K51" s="110"/>
      <c r="L51" s="110"/>
      <c r="M51" s="111"/>
      <c r="N51" s="111"/>
      <c r="O51" s="111"/>
      <c r="P51" s="112"/>
    </row>
    <row r="52" spans="1:16" customFormat="1" ht="23.25" customHeight="1" x14ac:dyDescent="0.25">
      <c r="A52" s="99"/>
      <c r="B52" s="100"/>
      <c r="C52" s="100"/>
      <c r="D52" s="100"/>
      <c r="E52" s="100"/>
      <c r="F52" s="101" t="s">
        <v>133</v>
      </c>
      <c r="G52" s="102"/>
      <c r="H52" s="103"/>
      <c r="I52" s="104"/>
      <c r="J52" s="105"/>
      <c r="K52" s="105"/>
      <c r="L52" s="105"/>
      <c r="M52" s="105"/>
      <c r="N52" s="105"/>
      <c r="O52" s="105"/>
      <c r="P52" s="106"/>
    </row>
    <row r="53" spans="1:16" customFormat="1" ht="23.25" customHeight="1" x14ac:dyDescent="0.25">
      <c r="A53" s="99">
        <v>27</v>
      </c>
      <c r="B53" s="100" t="s">
        <v>185</v>
      </c>
      <c r="C53" s="100" t="s">
        <v>179</v>
      </c>
      <c r="D53" s="100"/>
      <c r="E53" s="100"/>
      <c r="F53" s="101" t="s">
        <v>139</v>
      </c>
      <c r="G53" s="102" t="s">
        <v>101</v>
      </c>
      <c r="H53" s="103"/>
      <c r="I53" s="104">
        <v>54</v>
      </c>
      <c r="J53" s="105"/>
      <c r="K53" s="105"/>
      <c r="L53" s="105"/>
      <c r="M53" s="105"/>
      <c r="N53" s="105"/>
      <c r="O53" s="105"/>
      <c r="P53" s="106"/>
    </row>
    <row r="54" spans="1:16" customFormat="1" ht="15.6" x14ac:dyDescent="0.3">
      <c r="A54" s="107">
        <v>28</v>
      </c>
      <c r="B54" s="108"/>
      <c r="C54" s="108"/>
      <c r="D54" s="108"/>
      <c r="E54" s="108"/>
      <c r="F54" s="108" t="s">
        <v>140</v>
      </c>
      <c r="G54" s="109" t="s">
        <v>70</v>
      </c>
      <c r="H54" s="109">
        <v>3</v>
      </c>
      <c r="I54" s="109">
        <v>162</v>
      </c>
      <c r="J54" s="110"/>
      <c r="K54" s="110"/>
      <c r="L54" s="110"/>
      <c r="M54" s="111"/>
      <c r="N54" s="111"/>
      <c r="O54" s="111"/>
      <c r="P54" s="112"/>
    </row>
    <row r="55" spans="1:16" customFormat="1" ht="23.25" customHeight="1" x14ac:dyDescent="0.25">
      <c r="A55" s="99">
        <v>29</v>
      </c>
      <c r="B55" s="100" t="s">
        <v>186</v>
      </c>
      <c r="C55" s="100" t="s">
        <v>179</v>
      </c>
      <c r="D55" s="100"/>
      <c r="E55" s="100"/>
      <c r="F55" s="101" t="s">
        <v>134</v>
      </c>
      <c r="G55" s="102" t="s">
        <v>35</v>
      </c>
      <c r="H55" s="103"/>
      <c r="I55" s="104">
        <v>81.48</v>
      </c>
      <c r="J55" s="105"/>
      <c r="K55" s="105"/>
      <c r="L55" s="105"/>
      <c r="M55" s="105"/>
      <c r="N55" s="105"/>
      <c r="O55" s="105"/>
      <c r="P55" s="106"/>
    </row>
    <row r="56" spans="1:16" customFormat="1" ht="15.6" x14ac:dyDescent="0.3">
      <c r="A56" s="107">
        <v>30</v>
      </c>
      <c r="B56" s="108"/>
      <c r="C56" s="108"/>
      <c r="D56" s="108"/>
      <c r="E56" s="108"/>
      <c r="F56" s="108" t="s">
        <v>142</v>
      </c>
      <c r="G56" s="109" t="s">
        <v>70</v>
      </c>
      <c r="H56" s="109">
        <v>2</v>
      </c>
      <c r="I56" s="109">
        <v>162.96</v>
      </c>
      <c r="J56" s="110"/>
      <c r="K56" s="110"/>
      <c r="L56" s="110"/>
      <c r="M56" s="111"/>
      <c r="N56" s="111"/>
      <c r="O56" s="111"/>
      <c r="P56" s="112"/>
    </row>
    <row r="57" spans="1:16" customFormat="1" ht="31.2" x14ac:dyDescent="0.3">
      <c r="A57" s="107">
        <v>31</v>
      </c>
      <c r="B57" s="108"/>
      <c r="C57" s="108"/>
      <c r="D57" s="108"/>
      <c r="E57" s="108"/>
      <c r="F57" s="108" t="s">
        <v>141</v>
      </c>
      <c r="G57" s="109" t="s">
        <v>70</v>
      </c>
      <c r="H57" s="109">
        <v>3</v>
      </c>
      <c r="I57" s="109">
        <v>244.44</v>
      </c>
      <c r="J57" s="110"/>
      <c r="K57" s="110"/>
      <c r="L57" s="110"/>
      <c r="M57" s="111"/>
      <c r="N57" s="111"/>
      <c r="O57" s="111"/>
      <c r="P57" s="112"/>
    </row>
    <row r="58" spans="1:16" customFormat="1" ht="15.6" x14ac:dyDescent="0.3">
      <c r="A58" s="113"/>
      <c r="B58" s="114"/>
      <c r="C58" s="114"/>
      <c r="D58" s="114"/>
      <c r="E58" s="114"/>
      <c r="F58" s="114"/>
      <c r="G58" s="114"/>
      <c r="H58" s="114"/>
      <c r="I58" s="114"/>
      <c r="J58" s="155" t="s">
        <v>187</v>
      </c>
      <c r="K58" s="155"/>
      <c r="L58" s="155"/>
      <c r="M58" s="115" t="e">
        <f>SUBTOTAL(9,#REF!)</f>
        <v>#REF!</v>
      </c>
      <c r="N58" s="115"/>
      <c r="O58" s="115"/>
      <c r="P58" s="112"/>
    </row>
    <row r="59" spans="1:16" customFormat="1" ht="15.6" x14ac:dyDescent="0.3">
      <c r="A59" s="113"/>
      <c r="B59" s="114"/>
      <c r="C59" s="114"/>
      <c r="D59" s="114"/>
      <c r="E59" s="114"/>
      <c r="F59" s="114"/>
      <c r="G59" s="114"/>
      <c r="H59" s="114"/>
      <c r="I59" s="114"/>
      <c r="J59" s="155"/>
      <c r="K59" s="155"/>
      <c r="L59" s="155"/>
      <c r="M59" s="115"/>
      <c r="N59" s="115"/>
      <c r="O59" s="115"/>
      <c r="P59" s="112"/>
    </row>
    <row r="60" spans="1:16" customFormat="1" ht="15.6" x14ac:dyDescent="0.3">
      <c r="A60" s="116"/>
      <c r="B60" s="117"/>
      <c r="C60" s="117"/>
      <c r="D60" s="117"/>
      <c r="E60" s="117"/>
      <c r="F60" s="114"/>
      <c r="G60" s="114"/>
      <c r="H60" s="114"/>
      <c r="I60" s="114"/>
      <c r="J60" s="155"/>
      <c r="K60" s="155"/>
      <c r="L60" s="155"/>
      <c r="M60" s="115"/>
      <c r="N60" s="115"/>
      <c r="O60" s="115"/>
      <c r="P60" s="112"/>
    </row>
    <row r="61" spans="1:16" customFormat="1" ht="15.6" x14ac:dyDescent="0.25">
      <c r="A61" s="156" t="s">
        <v>188</v>
      </c>
      <c r="B61" s="156"/>
      <c r="C61" s="156"/>
      <c r="D61" s="156"/>
      <c r="E61" s="156"/>
      <c r="F61" s="156"/>
      <c r="G61" s="157"/>
      <c r="H61" s="157"/>
      <c r="I61" s="157"/>
      <c r="J61" s="157"/>
      <c r="K61" s="158"/>
      <c r="L61" s="158"/>
      <c r="M61" s="158"/>
      <c r="N61" s="158"/>
      <c r="O61" s="158"/>
      <c r="P61" s="158"/>
    </row>
    <row r="62" spans="1:16" customFormat="1" ht="15.6" x14ac:dyDescent="0.25">
      <c r="A62" s="156" t="s">
        <v>189</v>
      </c>
      <c r="B62" s="156"/>
      <c r="C62" s="156"/>
      <c r="D62" s="156"/>
      <c r="E62" s="156"/>
      <c r="F62" s="156"/>
      <c r="G62" s="157"/>
      <c r="H62" s="157"/>
      <c r="I62" s="157"/>
      <c r="J62" s="157"/>
      <c r="K62" s="158"/>
      <c r="L62" s="158"/>
      <c r="M62" s="158"/>
      <c r="N62" s="158"/>
      <c r="O62" s="158"/>
      <c r="P62" s="158"/>
    </row>
    <row r="63" spans="1:16" customFormat="1" ht="15.6" x14ac:dyDescent="0.25">
      <c r="A63" s="156" t="s">
        <v>190</v>
      </c>
      <c r="B63" s="156"/>
      <c r="C63" s="156"/>
      <c r="D63" s="156"/>
      <c r="E63" s="156"/>
      <c r="F63" s="156"/>
      <c r="G63" s="159" t="s">
        <v>191</v>
      </c>
      <c r="H63" s="159"/>
      <c r="I63" s="159"/>
      <c r="J63" s="159"/>
      <c r="K63" s="158"/>
      <c r="L63" s="158"/>
      <c r="M63" s="158"/>
      <c r="N63" s="158"/>
      <c r="O63" s="158"/>
      <c r="P63" s="158"/>
    </row>
    <row r="64" spans="1:16" customFormat="1" ht="15.6" x14ac:dyDescent="0.25">
      <c r="A64" s="156" t="s">
        <v>192</v>
      </c>
      <c r="B64" s="156"/>
      <c r="C64" s="156"/>
      <c r="D64" s="156"/>
      <c r="E64" s="156"/>
      <c r="F64" s="156"/>
      <c r="G64" s="159" t="s">
        <v>191</v>
      </c>
      <c r="H64" s="159"/>
      <c r="I64" s="159"/>
      <c r="J64" s="159"/>
      <c r="K64" s="158"/>
      <c r="L64" s="158"/>
      <c r="M64" s="158"/>
      <c r="N64" s="158"/>
      <c r="O64" s="158"/>
      <c r="P64" s="158"/>
    </row>
    <row r="65" spans="1:16" customFormat="1" ht="15.6" x14ac:dyDescent="0.25">
      <c r="A65" s="156" t="s">
        <v>193</v>
      </c>
      <c r="B65" s="156"/>
      <c r="C65" s="156"/>
      <c r="D65" s="156"/>
      <c r="E65" s="156"/>
      <c r="F65" s="156"/>
      <c r="G65" s="159" t="s">
        <v>191</v>
      </c>
      <c r="H65" s="159"/>
      <c r="I65" s="159"/>
      <c r="J65" s="159"/>
      <c r="K65" s="158"/>
      <c r="L65" s="158"/>
      <c r="M65" s="158"/>
      <c r="N65" s="158"/>
      <c r="O65" s="158"/>
      <c r="P65" s="158"/>
    </row>
    <row r="66" spans="1:16" customFormat="1" ht="15.6" x14ac:dyDescent="0.25">
      <c r="A66" s="156" t="s">
        <v>194</v>
      </c>
      <c r="B66" s="156"/>
      <c r="C66" s="156"/>
      <c r="D66" s="156"/>
      <c r="E66" s="156"/>
      <c r="F66" s="156"/>
      <c r="G66" s="159" t="s">
        <v>191</v>
      </c>
      <c r="H66" s="159"/>
      <c r="I66" s="159"/>
      <c r="J66" s="159"/>
      <c r="K66" s="158"/>
      <c r="L66" s="158"/>
      <c r="M66" s="158"/>
      <c r="N66" s="158"/>
      <c r="O66" s="158"/>
      <c r="P66" s="158"/>
    </row>
    <row r="67" spans="1:16" customFormat="1" ht="15.6" x14ac:dyDescent="0.25">
      <c r="A67" s="156" t="s">
        <v>195</v>
      </c>
      <c r="B67" s="156"/>
      <c r="C67" s="156"/>
      <c r="D67" s="156"/>
      <c r="E67" s="156"/>
      <c r="F67" s="156"/>
      <c r="G67" s="159" t="s">
        <v>196</v>
      </c>
      <c r="H67" s="159"/>
      <c r="I67" s="159"/>
      <c r="J67" s="159"/>
      <c r="K67" s="158"/>
      <c r="L67" s="158"/>
      <c r="M67" s="158"/>
      <c r="N67" s="158"/>
      <c r="O67" s="158"/>
      <c r="P67" s="158"/>
    </row>
    <row r="68" spans="1:16" customFormat="1" ht="15.6" x14ac:dyDescent="0.25">
      <c r="A68" s="156" t="s">
        <v>197</v>
      </c>
      <c r="B68" s="156"/>
      <c r="C68" s="156"/>
      <c r="D68" s="156"/>
      <c r="E68" s="156"/>
      <c r="F68" s="156"/>
      <c r="G68" s="159" t="s">
        <v>198</v>
      </c>
      <c r="H68" s="159"/>
      <c r="I68" s="159"/>
      <c r="J68" s="159"/>
      <c r="K68" s="158"/>
      <c r="L68" s="158"/>
      <c r="M68" s="158"/>
      <c r="N68" s="158"/>
      <c r="O68" s="158"/>
      <c r="P68" s="158"/>
    </row>
    <row r="69" spans="1:16" customFormat="1" ht="15.6" x14ac:dyDescent="0.25">
      <c r="A69" s="156" t="s">
        <v>199</v>
      </c>
      <c r="B69" s="156"/>
      <c r="C69" s="156"/>
      <c r="D69" s="156"/>
      <c r="E69" s="156"/>
      <c r="F69" s="156"/>
      <c r="G69" s="159" t="s">
        <v>171</v>
      </c>
      <c r="H69" s="159"/>
      <c r="I69" s="159"/>
      <c r="J69" s="159"/>
      <c r="K69" s="158"/>
      <c r="L69" s="158"/>
      <c r="M69" s="158"/>
      <c r="N69" s="158"/>
      <c r="O69" s="158"/>
      <c r="P69" s="158"/>
    </row>
    <row r="70" spans="1:16" customFormat="1" ht="15.6" x14ac:dyDescent="0.25">
      <c r="A70" s="156" t="s">
        <v>200</v>
      </c>
      <c r="B70" s="156"/>
      <c r="C70" s="156"/>
      <c r="D70" s="156"/>
      <c r="E70" s="156"/>
      <c r="F70" s="156"/>
      <c r="G70" s="159" t="s">
        <v>201</v>
      </c>
      <c r="H70" s="159"/>
      <c r="I70" s="159"/>
      <c r="J70" s="159"/>
      <c r="K70" s="158"/>
      <c r="L70" s="158"/>
      <c r="M70" s="158"/>
      <c r="N70" s="158"/>
      <c r="O70" s="158"/>
      <c r="P70" s="158"/>
    </row>
    <row r="71" spans="1:16" customFormat="1" ht="15.6" x14ac:dyDescent="0.25">
      <c r="A71" s="156" t="s">
        <v>202</v>
      </c>
      <c r="B71" s="156"/>
      <c r="C71" s="156"/>
      <c r="D71" s="156"/>
      <c r="E71" s="156"/>
      <c r="F71" s="156"/>
      <c r="G71" s="160"/>
      <c r="H71" s="160"/>
      <c r="I71" s="160"/>
      <c r="J71" s="160"/>
      <c r="K71" s="158"/>
      <c r="L71" s="158"/>
      <c r="M71" s="158"/>
      <c r="N71" s="158"/>
      <c r="O71" s="158"/>
      <c r="P71" s="158"/>
    </row>
    <row r="72" spans="1:16" ht="17.399999999999999" x14ac:dyDescent="0.25">
      <c r="A72" s="161" t="s">
        <v>203</v>
      </c>
      <c r="B72" s="161"/>
      <c r="C72" s="161"/>
      <c r="D72" s="161"/>
      <c r="E72" s="161"/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</row>
    <row r="73" spans="1:16" ht="14.4" x14ac:dyDescent="0.3">
      <c r="A73" s="162" t="s">
        <v>204</v>
      </c>
      <c r="B73" s="162"/>
      <c r="C73" s="162"/>
      <c r="D73" s="162"/>
      <c r="E73" s="162"/>
      <c r="F73" s="162"/>
      <c r="G73" s="118"/>
      <c r="H73" s="119"/>
      <c r="I73" s="119"/>
      <c r="J73" s="119"/>
      <c r="K73" s="119"/>
      <c r="L73" s="119"/>
      <c r="M73" s="119"/>
      <c r="N73" s="119"/>
      <c r="O73" s="119"/>
      <c r="P73" s="119"/>
    </row>
    <row r="74" spans="1:16" ht="14.4" x14ac:dyDescent="0.3">
      <c r="A74" s="163" t="s">
        <v>205</v>
      </c>
      <c r="B74" s="163"/>
      <c r="C74" s="163"/>
      <c r="D74" s="163"/>
      <c r="E74" s="163"/>
      <c r="F74" s="163"/>
      <c r="G74" s="118"/>
      <c r="H74" s="119"/>
      <c r="I74" s="119"/>
      <c r="J74" s="119"/>
      <c r="K74" s="119"/>
      <c r="L74" s="119"/>
      <c r="M74" s="119"/>
      <c r="N74" s="119"/>
      <c r="O74" s="119"/>
      <c r="P74" s="119"/>
    </row>
    <row r="75" spans="1:16" ht="27.6" x14ac:dyDescent="0.3">
      <c r="A75" s="120" t="s">
        <v>206</v>
      </c>
      <c r="B75" s="121" t="s">
        <v>207</v>
      </c>
      <c r="C75" s="121" t="s">
        <v>208</v>
      </c>
      <c r="D75" s="120" t="s">
        <v>120</v>
      </c>
      <c r="E75" s="164" t="s">
        <v>22</v>
      </c>
      <c r="F75" s="164"/>
      <c r="G75" s="118"/>
      <c r="H75" s="119"/>
      <c r="I75" s="119"/>
      <c r="J75" s="119"/>
      <c r="K75" s="119"/>
      <c r="L75" s="119"/>
      <c r="M75" s="119"/>
      <c r="N75" s="119"/>
      <c r="O75" s="119"/>
      <c r="P75" s="119"/>
    </row>
    <row r="76" spans="1:16" ht="14.4" x14ac:dyDescent="0.3">
      <c r="A76" s="121">
        <v>1</v>
      </c>
      <c r="B76" s="122"/>
      <c r="C76" s="121"/>
      <c r="D76" s="121"/>
      <c r="E76" s="165"/>
      <c r="F76" s="165"/>
      <c r="G76" s="118"/>
      <c r="H76" s="119"/>
      <c r="I76" s="119"/>
      <c r="J76" s="119"/>
      <c r="K76" s="119"/>
      <c r="L76" s="119"/>
      <c r="M76" s="119"/>
      <c r="N76" s="119"/>
      <c r="O76" s="119"/>
      <c r="P76" s="119"/>
    </row>
    <row r="77" spans="1:16" ht="14.4" x14ac:dyDescent="0.3">
      <c r="A77" s="123" t="s">
        <v>209</v>
      </c>
      <c r="B77" s="124"/>
      <c r="C77" s="125"/>
      <c r="D77" s="125"/>
      <c r="E77" s="166"/>
      <c r="F77" s="166"/>
      <c r="G77" s="118"/>
      <c r="H77" s="119"/>
      <c r="I77" s="119"/>
      <c r="J77" s="119"/>
      <c r="K77" s="119"/>
      <c r="L77" s="119"/>
      <c r="M77" s="119"/>
      <c r="N77" s="119"/>
      <c r="O77" s="119"/>
      <c r="P77" s="119"/>
    </row>
    <row r="78" spans="1:16" ht="14.4" x14ac:dyDescent="0.3">
      <c r="A78" s="126" t="s">
        <v>210</v>
      </c>
      <c r="B78" s="124"/>
      <c r="C78" s="125"/>
      <c r="D78" s="125"/>
      <c r="E78" s="166"/>
      <c r="F78" s="166"/>
      <c r="G78" s="118"/>
      <c r="H78" s="119"/>
      <c r="I78" s="119"/>
      <c r="J78" s="119"/>
      <c r="K78" s="119"/>
      <c r="L78" s="119"/>
      <c r="M78" s="119"/>
      <c r="N78" s="119"/>
      <c r="O78" s="119"/>
      <c r="P78" s="119"/>
    </row>
    <row r="79" spans="1:16" ht="14.4" x14ac:dyDescent="0.3">
      <c r="A79" s="121">
        <v>2</v>
      </c>
      <c r="B79" s="122"/>
      <c r="C79" s="121"/>
      <c r="D79" s="121"/>
      <c r="E79" s="165"/>
      <c r="F79" s="165"/>
      <c r="G79" s="118"/>
      <c r="H79" s="119"/>
      <c r="I79" s="119"/>
      <c r="J79" s="119"/>
      <c r="K79" s="119"/>
      <c r="L79" s="119"/>
      <c r="M79" s="119"/>
      <c r="N79" s="119"/>
      <c r="O79" s="119"/>
      <c r="P79" s="119"/>
    </row>
    <row r="80" spans="1:16" ht="14.4" x14ac:dyDescent="0.3">
      <c r="A80" s="127" t="s">
        <v>211</v>
      </c>
      <c r="B80" s="124"/>
      <c r="C80" s="125"/>
      <c r="D80" s="125"/>
      <c r="E80" s="166"/>
      <c r="F80" s="166"/>
      <c r="G80" s="118"/>
      <c r="H80" s="119"/>
      <c r="I80" s="119"/>
      <c r="J80" s="119"/>
      <c r="K80" s="119"/>
      <c r="L80" s="119"/>
      <c r="M80" s="119"/>
      <c r="N80" s="119"/>
      <c r="O80" s="119"/>
      <c r="P80" s="119"/>
    </row>
    <row r="81" spans="1:16" ht="14.4" x14ac:dyDescent="0.3">
      <c r="A81" s="127" t="s">
        <v>212</v>
      </c>
      <c r="B81" s="124"/>
      <c r="C81" s="125"/>
      <c r="D81" s="125"/>
      <c r="E81" s="166"/>
      <c r="F81" s="166"/>
      <c r="G81" s="118"/>
      <c r="H81" s="119"/>
      <c r="I81" s="119"/>
      <c r="J81" s="119"/>
      <c r="K81" s="119"/>
      <c r="L81" s="119"/>
      <c r="M81" s="119"/>
      <c r="N81" s="119"/>
      <c r="O81" s="119"/>
      <c r="P81" s="119"/>
    </row>
    <row r="82" spans="1:16" ht="14.4" x14ac:dyDescent="0.3">
      <c r="A82" s="121">
        <v>3</v>
      </c>
      <c r="B82" s="122"/>
      <c r="C82" s="121"/>
      <c r="D82" s="121"/>
      <c r="E82" s="166"/>
      <c r="F82" s="166"/>
      <c r="G82" s="118"/>
      <c r="H82" s="119"/>
      <c r="I82" s="119"/>
      <c r="J82" s="119"/>
      <c r="K82" s="119"/>
      <c r="L82" s="119"/>
      <c r="M82" s="119"/>
      <c r="N82" s="119"/>
      <c r="O82" s="119"/>
      <c r="P82" s="119"/>
    </row>
    <row r="83" spans="1:16" ht="14.4" x14ac:dyDescent="0.3">
      <c r="A83" s="121">
        <v>4</v>
      </c>
      <c r="B83" s="122"/>
      <c r="C83" s="121"/>
      <c r="D83" s="121"/>
      <c r="E83" s="166"/>
      <c r="F83" s="166"/>
      <c r="G83" s="118"/>
      <c r="H83" s="119"/>
      <c r="I83" s="119"/>
      <c r="J83" s="119"/>
      <c r="K83" s="119"/>
      <c r="L83" s="119"/>
      <c r="M83" s="119"/>
      <c r="N83" s="119"/>
      <c r="O83" s="119"/>
      <c r="P83" s="119"/>
    </row>
    <row r="84" spans="1:16" ht="14.4" x14ac:dyDescent="0.3">
      <c r="A84" s="121">
        <v>5</v>
      </c>
      <c r="B84" s="122"/>
      <c r="C84" s="121"/>
      <c r="D84" s="121"/>
      <c r="E84" s="166"/>
      <c r="F84" s="166"/>
      <c r="G84" s="118"/>
      <c r="H84" s="119"/>
      <c r="I84" s="119"/>
      <c r="J84" s="119"/>
      <c r="K84" s="119"/>
      <c r="L84" s="119"/>
      <c r="M84" s="119"/>
      <c r="N84" s="119"/>
      <c r="O84" s="119"/>
      <c r="P84" s="119"/>
    </row>
    <row r="85" spans="1:16" ht="14.4" x14ac:dyDescent="0.3">
      <c r="A85" s="121">
        <v>6</v>
      </c>
      <c r="B85" s="122"/>
      <c r="C85" s="121"/>
      <c r="D85" s="121"/>
      <c r="E85" s="166"/>
      <c r="F85" s="166"/>
      <c r="G85" s="118"/>
      <c r="H85" s="119"/>
      <c r="I85" s="119"/>
      <c r="J85" s="119"/>
      <c r="K85" s="119"/>
      <c r="L85" s="119"/>
      <c r="M85" s="119"/>
      <c r="N85" s="119"/>
      <c r="O85" s="119"/>
      <c r="P85" s="119"/>
    </row>
    <row r="86" spans="1:16" ht="14.4" x14ac:dyDescent="0.3">
      <c r="A86" s="121">
        <v>7</v>
      </c>
      <c r="B86" s="122"/>
      <c r="C86" s="121"/>
      <c r="D86" s="121"/>
      <c r="E86" s="166"/>
      <c r="F86" s="166"/>
      <c r="G86" s="118"/>
      <c r="H86" s="119"/>
      <c r="I86" s="119"/>
      <c r="J86" s="119"/>
      <c r="K86" s="119"/>
      <c r="L86" s="119"/>
      <c r="M86" s="119"/>
      <c r="N86" s="119"/>
      <c r="O86" s="119"/>
      <c r="P86" s="119"/>
    </row>
    <row r="87" spans="1:16" ht="14.4" x14ac:dyDescent="0.3">
      <c r="A87" s="121">
        <v>8</v>
      </c>
      <c r="B87" s="122"/>
      <c r="C87" s="121"/>
      <c r="D87" s="121"/>
      <c r="E87" s="166"/>
      <c r="F87" s="166"/>
      <c r="G87" s="118"/>
      <c r="H87" s="119"/>
      <c r="I87" s="119"/>
      <c r="J87" s="119"/>
      <c r="K87" s="119"/>
      <c r="L87" s="119"/>
      <c r="M87" s="119"/>
      <c r="N87" s="119"/>
      <c r="O87" s="119"/>
      <c r="P87" s="119"/>
    </row>
  </sheetData>
  <mergeCells count="89">
    <mergeCell ref="E84:F84"/>
    <mergeCell ref="E85:F85"/>
    <mergeCell ref="E86:F86"/>
    <mergeCell ref="E87:F87"/>
    <mergeCell ref="E79:F79"/>
    <mergeCell ref="E80:F80"/>
    <mergeCell ref="E81:F81"/>
    <mergeCell ref="E82:F82"/>
    <mergeCell ref="E83:F83"/>
    <mergeCell ref="A74:F74"/>
    <mergeCell ref="E75:F75"/>
    <mergeCell ref="E76:F76"/>
    <mergeCell ref="E77:F77"/>
    <mergeCell ref="E78:F78"/>
    <mergeCell ref="A71:F71"/>
    <mergeCell ref="G71:J71"/>
    <mergeCell ref="K71:P71"/>
    <mergeCell ref="A72:P72"/>
    <mergeCell ref="A73:F73"/>
    <mergeCell ref="A69:F69"/>
    <mergeCell ref="G69:J69"/>
    <mergeCell ref="K69:P69"/>
    <mergeCell ref="A70:F70"/>
    <mergeCell ref="G70:J70"/>
    <mergeCell ref="K70:P70"/>
    <mergeCell ref="A67:F67"/>
    <mergeCell ref="G67:J67"/>
    <mergeCell ref="K67:P67"/>
    <mergeCell ref="A68:F68"/>
    <mergeCell ref="G68:J68"/>
    <mergeCell ref="K68:P68"/>
    <mergeCell ref="A65:F65"/>
    <mergeCell ref="G65:J65"/>
    <mergeCell ref="K65:P65"/>
    <mergeCell ref="A66:F66"/>
    <mergeCell ref="G66:J66"/>
    <mergeCell ref="K66:P66"/>
    <mergeCell ref="A63:F63"/>
    <mergeCell ref="G63:J63"/>
    <mergeCell ref="K63:P63"/>
    <mergeCell ref="A64:F64"/>
    <mergeCell ref="G64:J64"/>
    <mergeCell ref="K64:P64"/>
    <mergeCell ref="J60:L60"/>
    <mergeCell ref="A61:F61"/>
    <mergeCell ref="G61:J61"/>
    <mergeCell ref="K61:P61"/>
    <mergeCell ref="A62:F62"/>
    <mergeCell ref="G62:J62"/>
    <mergeCell ref="K62:P62"/>
    <mergeCell ref="K23:L23"/>
    <mergeCell ref="M23:M24"/>
    <mergeCell ref="N23:O23"/>
    <mergeCell ref="J58:L58"/>
    <mergeCell ref="J59:L59"/>
    <mergeCell ref="A21:G21"/>
    <mergeCell ref="H21:J21"/>
    <mergeCell ref="K21:P21"/>
    <mergeCell ref="A22:A24"/>
    <mergeCell ref="B22:B24"/>
    <mergeCell ref="C22:C24"/>
    <mergeCell ref="D22:D24"/>
    <mergeCell ref="E22:E24"/>
    <mergeCell ref="F22:F24"/>
    <mergeCell ref="G22:G24"/>
    <mergeCell ref="H22:H24"/>
    <mergeCell ref="I22:I24"/>
    <mergeCell ref="J22:L22"/>
    <mergeCell ref="M22:O22"/>
    <mergeCell ref="P22:P24"/>
    <mergeCell ref="J23:J24"/>
    <mergeCell ref="A15:G20"/>
    <mergeCell ref="H15:J15"/>
    <mergeCell ref="K15:P15"/>
    <mergeCell ref="H16:J16"/>
    <mergeCell ref="K16:P16"/>
    <mergeCell ref="H17:J17"/>
    <mergeCell ref="K17:P17"/>
    <mergeCell ref="H18:J18"/>
    <mergeCell ref="K18:P18"/>
    <mergeCell ref="H19:J19"/>
    <mergeCell ref="K19:P19"/>
    <mergeCell ref="H20:J20"/>
    <mergeCell ref="K20:P20"/>
    <mergeCell ref="N5:O5"/>
    <mergeCell ref="A11:F11"/>
    <mergeCell ref="A12:P12"/>
    <mergeCell ref="A13:P13"/>
    <mergeCell ref="A14:P14"/>
  </mergeCells>
  <phoneticPr fontId="27" type="noConversion"/>
  <conditionalFormatting sqref="L42:L47">
    <cfRule type="containsText" dxfId="0" priority="4" operator="containsText" text="заказчик">
      <formula>NOT(ISERROR(SEARCH("заказчик",L42)))</formula>
    </cfRule>
  </conditionalFormatting>
  <printOptions horizontalCentered="1"/>
  <pageMargins left="0" right="0" top="0" bottom="0" header="0" footer="0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EEE4C-6487-430A-ADF0-468171F057E1}">
  <sheetPr>
    <pageSetUpPr fitToPage="1"/>
  </sheetPr>
  <dimension ref="A1:P87"/>
  <sheetViews>
    <sheetView tabSelected="1" workbookViewId="0">
      <selection activeCell="J58" sqref="J58:O59"/>
    </sheetView>
  </sheetViews>
  <sheetFormatPr defaultColWidth="9.109375" defaultRowHeight="13.8" x14ac:dyDescent="0.25"/>
  <cols>
    <col min="1" max="1" width="9.44140625" style="87" bestFit="1" customWidth="1"/>
    <col min="2" max="2" width="13.5546875" style="88" customWidth="1"/>
    <col min="3" max="3" width="11.109375" style="88" bestFit="1" customWidth="1"/>
    <col min="4" max="4" width="13.109375" style="88" customWidth="1"/>
    <col min="5" max="5" width="14.109375" style="88" customWidth="1"/>
    <col min="6" max="6" width="49.33203125" style="88" customWidth="1"/>
    <col min="7" max="9" width="9.109375" style="88"/>
    <col min="10" max="11" width="10.5546875" style="88" bestFit="1" customWidth="1"/>
    <col min="12" max="12" width="10.5546875" style="88" customWidth="1"/>
    <col min="13" max="13" width="16.21875" style="88" customWidth="1"/>
    <col min="14" max="14" width="16" style="88" customWidth="1"/>
    <col min="15" max="15" width="15.33203125" style="88" customWidth="1"/>
    <col min="16" max="16" width="31" style="134" customWidth="1"/>
    <col min="17" max="16384" width="9.109375" style="88"/>
  </cols>
  <sheetData>
    <row r="1" spans="1:16" x14ac:dyDescent="0.25">
      <c r="O1" s="89" t="s">
        <v>151</v>
      </c>
    </row>
    <row r="2" spans="1:16" x14ac:dyDescent="0.25">
      <c r="O2" s="89" t="s">
        <v>152</v>
      </c>
    </row>
    <row r="4" spans="1:16" x14ac:dyDescent="0.25">
      <c r="A4" s="90" t="s">
        <v>13</v>
      </c>
      <c r="O4" s="91" t="s">
        <v>153</v>
      </c>
    </row>
    <row r="5" spans="1:16" x14ac:dyDescent="0.25">
      <c r="A5" s="92"/>
      <c r="N5" s="142" t="s">
        <v>154</v>
      </c>
      <c r="O5" s="142"/>
    </row>
    <row r="6" spans="1:16" x14ac:dyDescent="0.25">
      <c r="A6" s="92"/>
      <c r="O6" s="93" t="s">
        <v>155</v>
      </c>
    </row>
    <row r="7" spans="1:16" x14ac:dyDescent="0.25">
      <c r="A7" s="92" t="s">
        <v>156</v>
      </c>
      <c r="O7" s="93" t="s">
        <v>157</v>
      </c>
    </row>
    <row r="8" spans="1:16" x14ac:dyDescent="0.25">
      <c r="A8" s="92" t="s">
        <v>158</v>
      </c>
      <c r="B8" s="92"/>
      <c r="C8" s="93"/>
      <c r="D8" s="94"/>
      <c r="G8" s="94"/>
      <c r="H8" s="94"/>
      <c r="I8" s="94"/>
      <c r="J8" s="94"/>
      <c r="N8" s="95"/>
      <c r="O8" s="93" t="s">
        <v>159</v>
      </c>
    </row>
    <row r="9" spans="1:16" x14ac:dyDescent="0.25">
      <c r="A9" s="92"/>
      <c r="B9" s="92"/>
      <c r="C9" s="93"/>
      <c r="D9" s="94"/>
      <c r="G9" s="94"/>
      <c r="H9" s="94"/>
      <c r="I9" s="94"/>
      <c r="J9" s="94"/>
      <c r="N9" s="95"/>
      <c r="O9" s="94"/>
    </row>
    <row r="10" spans="1:16" x14ac:dyDescent="0.25">
      <c r="A10" s="92"/>
      <c r="B10" s="92"/>
      <c r="C10" s="93"/>
      <c r="D10" s="94"/>
      <c r="E10" s="95"/>
      <c r="F10" s="94"/>
      <c r="G10" s="94"/>
      <c r="H10" s="94"/>
      <c r="I10" s="94"/>
      <c r="J10" s="94"/>
    </row>
    <row r="11" spans="1:16" x14ac:dyDescent="0.25">
      <c r="A11" s="143"/>
      <c r="B11" s="143"/>
      <c r="C11" s="143"/>
      <c r="D11" s="143"/>
      <c r="E11" s="143"/>
      <c r="F11" s="143"/>
      <c r="G11" s="94"/>
      <c r="H11" s="94"/>
      <c r="I11" s="94"/>
      <c r="J11" s="94"/>
    </row>
    <row r="12" spans="1:16" customFormat="1" ht="17.399999999999999" x14ac:dyDescent="0.25">
      <c r="A12" s="144" t="s">
        <v>213</v>
      </c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</row>
    <row r="13" spans="1:16" customFormat="1" ht="15.6" x14ac:dyDescent="0.25">
      <c r="A13" s="145" t="s">
        <v>161</v>
      </c>
      <c r="B13" s="145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</row>
    <row r="14" spans="1:16" customFormat="1" ht="28.5" customHeight="1" x14ac:dyDescent="0.25">
      <c r="A14" s="146" t="s">
        <v>162</v>
      </c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</row>
    <row r="15" spans="1:16" customFormat="1" ht="15.6" x14ac:dyDescent="0.25">
      <c r="A15" s="147" t="s">
        <v>163</v>
      </c>
      <c r="B15" s="147"/>
      <c r="C15" s="147"/>
      <c r="D15" s="147"/>
      <c r="E15" s="147"/>
      <c r="F15" s="147"/>
      <c r="G15" s="147"/>
      <c r="H15" s="148" t="s">
        <v>164</v>
      </c>
      <c r="I15" s="148"/>
      <c r="J15" s="148"/>
      <c r="K15" s="148"/>
      <c r="L15" s="148"/>
      <c r="M15" s="148"/>
      <c r="N15" s="148"/>
      <c r="O15" s="148"/>
      <c r="P15" s="148"/>
    </row>
    <row r="16" spans="1:16" customFormat="1" ht="15.6" x14ac:dyDescent="0.25">
      <c r="A16" s="147"/>
      <c r="B16" s="147"/>
      <c r="C16" s="147"/>
      <c r="D16" s="147"/>
      <c r="E16" s="147"/>
      <c r="F16" s="147"/>
      <c r="G16" s="147"/>
      <c r="H16" s="148" t="s">
        <v>165</v>
      </c>
      <c r="I16" s="148"/>
      <c r="J16" s="148"/>
      <c r="K16" s="148"/>
      <c r="L16" s="148"/>
      <c r="M16" s="148"/>
      <c r="N16" s="148"/>
      <c r="O16" s="148"/>
      <c r="P16" s="148"/>
    </row>
    <row r="17" spans="1:16" customFormat="1" ht="15.6" x14ac:dyDescent="0.25">
      <c r="A17" s="147"/>
      <c r="B17" s="147"/>
      <c r="C17" s="147"/>
      <c r="D17" s="147"/>
      <c r="E17" s="147"/>
      <c r="F17" s="147"/>
      <c r="G17" s="147"/>
      <c r="H17" s="148" t="s">
        <v>166</v>
      </c>
      <c r="I17" s="148"/>
      <c r="J17" s="148"/>
      <c r="K17" s="148"/>
      <c r="L17" s="148"/>
      <c r="M17" s="148"/>
      <c r="N17" s="148"/>
      <c r="O17" s="148"/>
      <c r="P17" s="148"/>
    </row>
    <row r="18" spans="1:16" customFormat="1" ht="15.6" x14ac:dyDescent="0.25">
      <c r="A18" s="147"/>
      <c r="B18" s="147"/>
      <c r="C18" s="147"/>
      <c r="D18" s="147"/>
      <c r="E18" s="147"/>
      <c r="F18" s="147"/>
      <c r="G18" s="147"/>
      <c r="H18" s="148" t="s">
        <v>167</v>
      </c>
      <c r="I18" s="148"/>
      <c r="J18" s="148"/>
      <c r="K18" s="148"/>
      <c r="L18" s="148"/>
      <c r="M18" s="148"/>
      <c r="N18" s="148"/>
      <c r="O18" s="148"/>
      <c r="P18" s="148"/>
    </row>
    <row r="19" spans="1:16" customFormat="1" ht="15.6" x14ac:dyDescent="0.25">
      <c r="A19" s="147"/>
      <c r="B19" s="147"/>
      <c r="C19" s="147"/>
      <c r="D19" s="147"/>
      <c r="E19" s="147"/>
      <c r="F19" s="147"/>
      <c r="G19" s="147"/>
      <c r="H19" s="148" t="s">
        <v>168</v>
      </c>
      <c r="I19" s="148"/>
      <c r="J19" s="148"/>
      <c r="K19" s="148"/>
      <c r="L19" s="148"/>
      <c r="M19" s="148"/>
      <c r="N19" s="148"/>
      <c r="O19" s="148"/>
      <c r="P19" s="148"/>
    </row>
    <row r="20" spans="1:16" customFormat="1" ht="15.6" x14ac:dyDescent="0.25">
      <c r="A20" s="147"/>
      <c r="B20" s="147"/>
      <c r="C20" s="147"/>
      <c r="D20" s="147"/>
      <c r="E20" s="147"/>
      <c r="F20" s="147"/>
      <c r="G20" s="147"/>
      <c r="H20" s="148" t="s">
        <v>169</v>
      </c>
      <c r="I20" s="148"/>
      <c r="J20" s="148"/>
      <c r="K20" s="148"/>
      <c r="L20" s="148"/>
      <c r="M20" s="148"/>
      <c r="N20" s="148"/>
      <c r="O20" s="148"/>
      <c r="P20" s="148"/>
    </row>
    <row r="21" spans="1:16" customFormat="1" ht="15.6" x14ac:dyDescent="0.25">
      <c r="A21" s="148" t="s">
        <v>170</v>
      </c>
      <c r="B21" s="148"/>
      <c r="C21" s="148"/>
      <c r="D21" s="148"/>
      <c r="E21" s="148"/>
      <c r="F21" s="148"/>
      <c r="G21" s="148"/>
      <c r="H21" s="148" t="s">
        <v>171</v>
      </c>
      <c r="I21" s="148"/>
      <c r="J21" s="148"/>
      <c r="K21" s="148"/>
      <c r="L21" s="148"/>
      <c r="M21" s="148"/>
      <c r="N21" s="148"/>
      <c r="O21" s="148"/>
      <c r="P21" s="148"/>
    </row>
    <row r="22" spans="1:16" customFormat="1" ht="15.6" x14ac:dyDescent="0.25">
      <c r="A22" s="149" t="s">
        <v>0</v>
      </c>
      <c r="B22" s="149" t="s">
        <v>172</v>
      </c>
      <c r="C22" s="150" t="s">
        <v>173</v>
      </c>
      <c r="D22" s="150" t="s">
        <v>174</v>
      </c>
      <c r="E22" s="150" t="s">
        <v>175</v>
      </c>
      <c r="F22" s="153" t="s">
        <v>1</v>
      </c>
      <c r="G22" s="153" t="s">
        <v>176</v>
      </c>
      <c r="H22" s="153" t="s">
        <v>120</v>
      </c>
      <c r="I22" s="153" t="s">
        <v>2</v>
      </c>
      <c r="J22" s="147" t="s">
        <v>177</v>
      </c>
      <c r="K22" s="147"/>
      <c r="L22" s="147"/>
      <c r="M22" s="147" t="s">
        <v>178</v>
      </c>
      <c r="N22" s="147"/>
      <c r="O22" s="147"/>
      <c r="P22" s="167" t="s">
        <v>3</v>
      </c>
    </row>
    <row r="23" spans="1:16" customFormat="1" ht="13.2" x14ac:dyDescent="0.25">
      <c r="A23" s="149"/>
      <c r="B23" s="149"/>
      <c r="C23" s="151"/>
      <c r="D23" s="151"/>
      <c r="E23" s="151"/>
      <c r="F23" s="153"/>
      <c r="G23" s="153"/>
      <c r="H23" s="153"/>
      <c r="I23" s="153"/>
      <c r="J23" s="153" t="s">
        <v>4</v>
      </c>
      <c r="K23" s="154" t="s">
        <v>5</v>
      </c>
      <c r="L23" s="154"/>
      <c r="M23" s="153" t="s">
        <v>4</v>
      </c>
      <c r="N23" s="154" t="s">
        <v>5</v>
      </c>
      <c r="O23" s="154"/>
      <c r="P23" s="167"/>
    </row>
    <row r="24" spans="1:16" customFormat="1" ht="26.4" x14ac:dyDescent="0.25">
      <c r="A24" s="149"/>
      <c r="B24" s="149"/>
      <c r="C24" s="152"/>
      <c r="D24" s="152"/>
      <c r="E24" s="152"/>
      <c r="F24" s="153"/>
      <c r="G24" s="153"/>
      <c r="H24" s="153"/>
      <c r="I24" s="153"/>
      <c r="J24" s="153"/>
      <c r="K24" s="96" t="s">
        <v>6</v>
      </c>
      <c r="L24" s="96" t="s">
        <v>7</v>
      </c>
      <c r="M24" s="153"/>
      <c r="N24" s="96" t="s">
        <v>6</v>
      </c>
      <c r="O24" s="96" t="s">
        <v>7</v>
      </c>
      <c r="P24" s="167"/>
    </row>
    <row r="25" spans="1:16" customFormat="1" ht="13.2" x14ac:dyDescent="0.25">
      <c r="A25" s="97">
        <v>1</v>
      </c>
      <c r="B25" s="98">
        <v>2</v>
      </c>
      <c r="C25" s="97">
        <v>3</v>
      </c>
      <c r="D25" s="98">
        <v>4</v>
      </c>
      <c r="E25" s="97">
        <v>5</v>
      </c>
      <c r="F25" s="98">
        <v>6</v>
      </c>
      <c r="G25" s="97">
        <v>7</v>
      </c>
      <c r="H25" s="98">
        <v>8</v>
      </c>
      <c r="I25" s="97">
        <v>9</v>
      </c>
      <c r="J25" s="98">
        <v>10</v>
      </c>
      <c r="K25" s="97">
        <v>11</v>
      </c>
      <c r="L25" s="98">
        <v>12</v>
      </c>
      <c r="M25" s="97">
        <v>13</v>
      </c>
      <c r="N25" s="98">
        <v>14</v>
      </c>
      <c r="O25" s="97">
        <v>15</v>
      </c>
      <c r="P25" s="135">
        <v>16</v>
      </c>
    </row>
    <row r="26" spans="1:16" customFormat="1" ht="23.25" customHeight="1" x14ac:dyDescent="0.25">
      <c r="A26" s="99" t="s">
        <v>8</v>
      </c>
      <c r="B26" s="100" t="s">
        <v>8</v>
      </c>
      <c r="C26" s="100" t="s">
        <v>179</v>
      </c>
      <c r="D26" s="100"/>
      <c r="E26" s="100"/>
      <c r="F26" s="101" t="s">
        <v>124</v>
      </c>
      <c r="G26" s="102" t="s">
        <v>35</v>
      </c>
      <c r="H26" s="103"/>
      <c r="I26" s="104">
        <v>1119.4100000000001</v>
      </c>
      <c r="J26" s="128">
        <f>K26+L26</f>
        <v>0</v>
      </c>
      <c r="K26" s="129"/>
      <c r="L26" s="130"/>
      <c r="M26" s="128">
        <f>N26+O26</f>
        <v>0</v>
      </c>
      <c r="N26" s="128">
        <f>K26*I26</f>
        <v>0</v>
      </c>
      <c r="O26" s="128"/>
      <c r="P26" s="136"/>
    </row>
    <row r="27" spans="1:16" customFormat="1" ht="15.6" x14ac:dyDescent="0.3">
      <c r="A27" s="107">
        <v>2</v>
      </c>
      <c r="B27" s="108"/>
      <c r="C27" s="108"/>
      <c r="D27" s="108"/>
      <c r="E27" s="108"/>
      <c r="F27" s="108" t="s">
        <v>145</v>
      </c>
      <c r="G27" s="109" t="s">
        <v>70</v>
      </c>
      <c r="H27" s="109">
        <v>2</v>
      </c>
      <c r="I27" s="109">
        <v>2238.8200000000002</v>
      </c>
      <c r="J27" s="131">
        <f t="shared" ref="J27" si="0">K27+L27</f>
        <v>0</v>
      </c>
      <c r="K27" s="132"/>
      <c r="L27" s="133"/>
      <c r="M27" s="131">
        <f t="shared" ref="M27" si="1">N27+O27</f>
        <v>0</v>
      </c>
      <c r="N27" s="131"/>
      <c r="O27" s="131">
        <f t="shared" ref="O27" si="2">L27*I27</f>
        <v>0</v>
      </c>
      <c r="P27" s="137" t="s">
        <v>214</v>
      </c>
    </row>
    <row r="28" spans="1:16" customFormat="1" ht="23.25" customHeight="1" x14ac:dyDescent="0.25">
      <c r="A28" s="99">
        <v>3</v>
      </c>
      <c r="B28" s="100" t="s">
        <v>180</v>
      </c>
      <c r="C28" s="100" t="s">
        <v>179</v>
      </c>
      <c r="D28" s="100"/>
      <c r="E28" s="100"/>
      <c r="F28" s="101" t="s">
        <v>138</v>
      </c>
      <c r="G28" s="102" t="s">
        <v>101</v>
      </c>
      <c r="H28" s="103"/>
      <c r="I28" s="104">
        <v>98.52</v>
      </c>
      <c r="J28" s="128">
        <f>K28+L28</f>
        <v>0</v>
      </c>
      <c r="K28" s="129"/>
      <c r="L28" s="130"/>
      <c r="M28" s="128">
        <f>N28+O28</f>
        <v>0</v>
      </c>
      <c r="N28" s="128">
        <f>K28*I28</f>
        <v>0</v>
      </c>
      <c r="O28" s="128"/>
      <c r="P28" s="136"/>
    </row>
    <row r="29" spans="1:16" customFormat="1" ht="36" customHeight="1" x14ac:dyDescent="0.3">
      <c r="A29" s="107">
        <v>4</v>
      </c>
      <c r="B29" s="108"/>
      <c r="C29" s="108"/>
      <c r="D29" s="108"/>
      <c r="E29" s="108"/>
      <c r="F29" s="108" t="s">
        <v>147</v>
      </c>
      <c r="G29" s="109" t="s">
        <v>101</v>
      </c>
      <c r="H29" s="109">
        <v>1.05</v>
      </c>
      <c r="I29" s="109">
        <v>103.45</v>
      </c>
      <c r="J29" s="131">
        <f t="shared" ref="J29" si="3">K29+L29</f>
        <v>0</v>
      </c>
      <c r="K29" s="132"/>
      <c r="L29" s="133"/>
      <c r="M29" s="131">
        <f t="shared" ref="M29" si="4">N29+O29</f>
        <v>0</v>
      </c>
      <c r="N29" s="131"/>
      <c r="O29" s="131">
        <f t="shared" ref="O29" si="5">L29*I29</f>
        <v>0</v>
      </c>
      <c r="P29" s="137" t="s">
        <v>214</v>
      </c>
    </row>
    <row r="30" spans="1:16" customFormat="1" ht="23.25" customHeight="1" x14ac:dyDescent="0.25">
      <c r="A30" s="99">
        <v>5</v>
      </c>
      <c r="B30" s="100" t="s">
        <v>10</v>
      </c>
      <c r="C30" s="100" t="s">
        <v>179</v>
      </c>
      <c r="D30" s="100"/>
      <c r="E30" s="100"/>
      <c r="F30" s="101" t="s">
        <v>149</v>
      </c>
      <c r="G30" s="102" t="s">
        <v>35</v>
      </c>
      <c r="H30" s="103"/>
      <c r="I30" s="104">
        <v>1119.4100000000001</v>
      </c>
      <c r="J30" s="128">
        <f>K30+L30</f>
        <v>0</v>
      </c>
      <c r="K30" s="129"/>
      <c r="L30" s="130"/>
      <c r="M30" s="128">
        <f>N30+O30</f>
        <v>0</v>
      </c>
      <c r="N30" s="128">
        <f>K30*I30</f>
        <v>0</v>
      </c>
      <c r="O30" s="128"/>
      <c r="P30" s="136"/>
    </row>
    <row r="31" spans="1:16" customFormat="1" ht="15.6" x14ac:dyDescent="0.3">
      <c r="A31" s="107">
        <v>6</v>
      </c>
      <c r="B31" s="108"/>
      <c r="C31" s="108"/>
      <c r="D31" s="108"/>
      <c r="E31" s="108"/>
      <c r="F31" s="108" t="s">
        <v>148</v>
      </c>
      <c r="G31" s="109" t="s">
        <v>70</v>
      </c>
      <c r="H31" s="109">
        <v>3</v>
      </c>
      <c r="I31" s="109">
        <v>3358.23</v>
      </c>
      <c r="J31" s="131">
        <f t="shared" ref="J31" si="6">K31+L31</f>
        <v>0</v>
      </c>
      <c r="K31" s="132"/>
      <c r="L31" s="133"/>
      <c r="M31" s="131">
        <f t="shared" ref="M31" si="7">N31+O31</f>
        <v>0</v>
      </c>
      <c r="N31" s="131"/>
      <c r="O31" s="131">
        <f t="shared" ref="O31" si="8">L31*I31</f>
        <v>0</v>
      </c>
      <c r="P31" s="137" t="s">
        <v>214</v>
      </c>
    </row>
    <row r="32" spans="1:16" customFormat="1" ht="23.25" customHeight="1" x14ac:dyDescent="0.25">
      <c r="A32" s="99">
        <v>7</v>
      </c>
      <c r="B32" s="100" t="s">
        <v>49</v>
      </c>
      <c r="C32" s="100" t="s">
        <v>179</v>
      </c>
      <c r="D32" s="100"/>
      <c r="E32" s="100"/>
      <c r="F32" s="101" t="s">
        <v>121</v>
      </c>
      <c r="G32" s="102" t="s">
        <v>122</v>
      </c>
      <c r="H32" s="103"/>
      <c r="I32" s="104">
        <v>2799</v>
      </c>
      <c r="J32" s="128">
        <f>K32+L32</f>
        <v>0</v>
      </c>
      <c r="K32" s="129"/>
      <c r="L32" s="130"/>
      <c r="M32" s="128">
        <f>N32+O32</f>
        <v>0</v>
      </c>
      <c r="N32" s="128">
        <f>K32*I32</f>
        <v>0</v>
      </c>
      <c r="O32" s="128"/>
      <c r="P32" s="136"/>
    </row>
    <row r="33" spans="1:16" customFormat="1" ht="15.6" x14ac:dyDescent="0.3">
      <c r="A33" s="107">
        <v>8</v>
      </c>
      <c r="B33" s="108"/>
      <c r="C33" s="108"/>
      <c r="D33" s="108"/>
      <c r="E33" s="108"/>
      <c r="F33" s="108" t="s">
        <v>140</v>
      </c>
      <c r="G33" s="109" t="s">
        <v>70</v>
      </c>
      <c r="H33" s="109">
        <v>0.3</v>
      </c>
      <c r="I33" s="109">
        <v>839.7</v>
      </c>
      <c r="J33" s="131">
        <f t="shared" ref="J33:J34" si="9">K33+L33</f>
        <v>0</v>
      </c>
      <c r="K33" s="132"/>
      <c r="L33" s="133"/>
      <c r="M33" s="131">
        <f t="shared" ref="M33:M34" si="10">N33+O33</f>
        <v>0</v>
      </c>
      <c r="N33" s="131"/>
      <c r="O33" s="131">
        <f t="shared" ref="O33:O34" si="11">L33*I33</f>
        <v>0</v>
      </c>
      <c r="P33" s="137" t="s">
        <v>214</v>
      </c>
    </row>
    <row r="34" spans="1:16" customFormat="1" ht="15.6" x14ac:dyDescent="0.3">
      <c r="A34" s="107">
        <v>9</v>
      </c>
      <c r="B34" s="108"/>
      <c r="C34" s="108"/>
      <c r="D34" s="108"/>
      <c r="E34" s="108"/>
      <c r="F34" s="108" t="s">
        <v>125</v>
      </c>
      <c r="G34" s="109" t="s">
        <v>70</v>
      </c>
      <c r="H34" s="109">
        <v>0.1</v>
      </c>
      <c r="I34" s="109">
        <v>279.89999999999998</v>
      </c>
      <c r="J34" s="131">
        <f t="shared" si="9"/>
        <v>0</v>
      </c>
      <c r="K34" s="132"/>
      <c r="L34" s="133"/>
      <c r="M34" s="131">
        <f t="shared" si="10"/>
        <v>0</v>
      </c>
      <c r="N34" s="131"/>
      <c r="O34" s="131">
        <f t="shared" si="11"/>
        <v>0</v>
      </c>
      <c r="P34" s="137" t="s">
        <v>214</v>
      </c>
    </row>
    <row r="35" spans="1:16" customFormat="1" ht="23.25" customHeight="1" x14ac:dyDescent="0.25">
      <c r="A35" s="99">
        <v>10</v>
      </c>
      <c r="B35" s="100" t="s">
        <v>181</v>
      </c>
      <c r="C35" s="100" t="s">
        <v>179</v>
      </c>
      <c r="D35" s="100"/>
      <c r="E35" s="100"/>
      <c r="F35" s="101" t="s">
        <v>137</v>
      </c>
      <c r="G35" s="102" t="s">
        <v>101</v>
      </c>
      <c r="H35" s="103"/>
      <c r="I35" s="104">
        <v>290.64999999999998</v>
      </c>
      <c r="J35" s="128">
        <f>K35+L35</f>
        <v>0</v>
      </c>
      <c r="K35" s="129"/>
      <c r="L35" s="130"/>
      <c r="M35" s="128">
        <f>N35+O35</f>
        <v>0</v>
      </c>
      <c r="N35" s="128">
        <f>K35*I35</f>
        <v>0</v>
      </c>
      <c r="O35" s="128"/>
      <c r="P35" s="136"/>
    </row>
    <row r="36" spans="1:16" customFormat="1" ht="15.6" x14ac:dyDescent="0.3">
      <c r="A36" s="107">
        <v>11</v>
      </c>
      <c r="B36" s="108"/>
      <c r="C36" s="108"/>
      <c r="D36" s="108"/>
      <c r="E36" s="108"/>
      <c r="F36" s="108" t="s">
        <v>146</v>
      </c>
      <c r="G36" s="109" t="s">
        <v>101</v>
      </c>
      <c r="H36" s="109">
        <v>1.05</v>
      </c>
      <c r="I36" s="109">
        <v>305.18</v>
      </c>
      <c r="J36" s="131">
        <f t="shared" ref="J36" si="12">K36+L36</f>
        <v>0</v>
      </c>
      <c r="K36" s="132"/>
      <c r="L36" s="133"/>
      <c r="M36" s="131">
        <f t="shared" ref="M36" si="13">N36+O36</f>
        <v>0</v>
      </c>
      <c r="N36" s="131"/>
      <c r="O36" s="131">
        <f t="shared" ref="O36" si="14">L36*I36</f>
        <v>0</v>
      </c>
      <c r="P36" s="137" t="s">
        <v>214</v>
      </c>
    </row>
    <row r="37" spans="1:16" customFormat="1" ht="23.25" customHeight="1" x14ac:dyDescent="0.25">
      <c r="A37" s="99">
        <v>12</v>
      </c>
      <c r="B37" s="100" t="s">
        <v>182</v>
      </c>
      <c r="C37" s="100" t="s">
        <v>179</v>
      </c>
      <c r="D37" s="100"/>
      <c r="E37" s="100"/>
      <c r="F37" s="101" t="s">
        <v>130</v>
      </c>
      <c r="G37" s="102" t="s">
        <v>101</v>
      </c>
      <c r="H37" s="103"/>
      <c r="I37" s="104">
        <v>38.67</v>
      </c>
      <c r="J37" s="128">
        <f>K37+L37</f>
        <v>0</v>
      </c>
      <c r="K37" s="129"/>
      <c r="L37" s="130"/>
      <c r="M37" s="128">
        <f>N37+O37</f>
        <v>0</v>
      </c>
      <c r="N37" s="128">
        <f>K37*I37</f>
        <v>0</v>
      </c>
      <c r="O37" s="128"/>
      <c r="P37" s="136"/>
    </row>
    <row r="38" spans="1:16" customFormat="1" ht="15.6" x14ac:dyDescent="0.3">
      <c r="A38" s="107">
        <v>13</v>
      </c>
      <c r="B38" s="108"/>
      <c r="C38" s="108"/>
      <c r="D38" s="108"/>
      <c r="E38" s="108"/>
      <c r="F38" s="108" t="s">
        <v>140</v>
      </c>
      <c r="G38" s="109" t="s">
        <v>70</v>
      </c>
      <c r="H38" s="109">
        <v>3</v>
      </c>
      <c r="I38" s="109">
        <v>116.01</v>
      </c>
      <c r="J38" s="131">
        <f t="shared" ref="J38:J39" si="15">K38+L38</f>
        <v>0</v>
      </c>
      <c r="K38" s="132"/>
      <c r="L38" s="133"/>
      <c r="M38" s="131">
        <f t="shared" ref="M38:M39" si="16">N38+O38</f>
        <v>0</v>
      </c>
      <c r="N38" s="131"/>
      <c r="O38" s="131">
        <f t="shared" ref="O38:O39" si="17">L38*I38</f>
        <v>0</v>
      </c>
      <c r="P38" s="137" t="s">
        <v>214</v>
      </c>
    </row>
    <row r="39" spans="1:16" customFormat="1" ht="15.6" x14ac:dyDescent="0.3">
      <c r="A39" s="107">
        <v>14</v>
      </c>
      <c r="B39" s="108"/>
      <c r="C39" s="108"/>
      <c r="D39" s="108"/>
      <c r="E39" s="108"/>
      <c r="F39" s="108" t="s">
        <v>144</v>
      </c>
      <c r="G39" s="109" t="s">
        <v>70</v>
      </c>
      <c r="H39" s="109">
        <v>0.8</v>
      </c>
      <c r="I39" s="109">
        <v>30.94</v>
      </c>
      <c r="J39" s="131">
        <f t="shared" si="15"/>
        <v>0</v>
      </c>
      <c r="K39" s="132"/>
      <c r="L39" s="133"/>
      <c r="M39" s="131">
        <f t="shared" si="16"/>
        <v>0</v>
      </c>
      <c r="N39" s="131"/>
      <c r="O39" s="131">
        <f t="shared" si="17"/>
        <v>0</v>
      </c>
      <c r="P39" s="137" t="s">
        <v>214</v>
      </c>
    </row>
    <row r="40" spans="1:16" customFormat="1" ht="23.25" customHeight="1" x14ac:dyDescent="0.25">
      <c r="A40" s="99">
        <v>15</v>
      </c>
      <c r="B40" s="100" t="s">
        <v>183</v>
      </c>
      <c r="C40" s="100" t="s">
        <v>179</v>
      </c>
      <c r="D40" s="100"/>
      <c r="E40" s="100"/>
      <c r="F40" s="101" t="s">
        <v>150</v>
      </c>
      <c r="G40" s="102" t="s">
        <v>101</v>
      </c>
      <c r="H40" s="103"/>
      <c r="I40" s="104">
        <v>594.9</v>
      </c>
      <c r="J40" s="128">
        <f>K40+L40</f>
        <v>0</v>
      </c>
      <c r="K40" s="129"/>
      <c r="L40" s="130"/>
      <c r="M40" s="128">
        <f>N40+O40</f>
        <v>0</v>
      </c>
      <c r="N40" s="128">
        <f>K40*I40</f>
        <v>0</v>
      </c>
      <c r="O40" s="128"/>
      <c r="P40" s="136"/>
    </row>
    <row r="41" spans="1:16" customFormat="1" ht="15.6" x14ac:dyDescent="0.3">
      <c r="A41" s="107">
        <v>16</v>
      </c>
      <c r="B41" s="108"/>
      <c r="C41" s="108"/>
      <c r="D41" s="108"/>
      <c r="E41" s="108"/>
      <c r="F41" s="108" t="s">
        <v>144</v>
      </c>
      <c r="G41" s="109" t="s">
        <v>70</v>
      </c>
      <c r="H41" s="109">
        <v>0.8</v>
      </c>
      <c r="I41" s="109">
        <v>475.92</v>
      </c>
      <c r="J41" s="131">
        <f t="shared" ref="J41:J42" si="18">K41+L41</f>
        <v>0</v>
      </c>
      <c r="K41" s="132"/>
      <c r="L41" s="133"/>
      <c r="M41" s="131">
        <f t="shared" ref="M41:M42" si="19">N41+O41</f>
        <v>0</v>
      </c>
      <c r="N41" s="131"/>
      <c r="O41" s="131">
        <f t="shared" ref="O41:O42" si="20">L41*I41</f>
        <v>0</v>
      </c>
      <c r="P41" s="137" t="s">
        <v>214</v>
      </c>
    </row>
    <row r="42" spans="1:16" customFormat="1" ht="15.6" x14ac:dyDescent="0.3">
      <c r="A42" s="107">
        <v>17</v>
      </c>
      <c r="B42" s="108"/>
      <c r="C42" s="108"/>
      <c r="D42" s="108"/>
      <c r="E42" s="108"/>
      <c r="F42" s="108" t="s">
        <v>140</v>
      </c>
      <c r="G42" s="109" t="s">
        <v>70</v>
      </c>
      <c r="H42" s="109">
        <v>3</v>
      </c>
      <c r="I42" s="109">
        <v>1784.7</v>
      </c>
      <c r="J42" s="131">
        <f t="shared" si="18"/>
        <v>0</v>
      </c>
      <c r="K42" s="132"/>
      <c r="L42" s="133"/>
      <c r="M42" s="131">
        <f t="shared" si="19"/>
        <v>0</v>
      </c>
      <c r="N42" s="131"/>
      <c r="O42" s="131">
        <f t="shared" si="20"/>
        <v>0</v>
      </c>
      <c r="P42" s="137" t="s">
        <v>214</v>
      </c>
    </row>
    <row r="43" spans="1:16" customFormat="1" ht="23.25" customHeight="1" x14ac:dyDescent="0.25">
      <c r="A43" s="99">
        <v>18</v>
      </c>
      <c r="B43" s="100" t="s">
        <v>10</v>
      </c>
      <c r="C43" s="100" t="s">
        <v>179</v>
      </c>
      <c r="D43" s="100"/>
      <c r="E43" s="100"/>
      <c r="F43" s="101" t="s">
        <v>135</v>
      </c>
      <c r="G43" s="102" t="s">
        <v>35</v>
      </c>
      <c r="H43" s="103"/>
      <c r="I43" s="104">
        <v>1119.4100000000001</v>
      </c>
      <c r="J43" s="128">
        <f>K43+L43</f>
        <v>0</v>
      </c>
      <c r="K43" s="129"/>
      <c r="L43" s="130"/>
      <c r="M43" s="128">
        <f>N43+O43</f>
        <v>0</v>
      </c>
      <c r="N43" s="128">
        <f>K43*I43</f>
        <v>0</v>
      </c>
      <c r="O43" s="128"/>
      <c r="P43" s="136"/>
    </row>
    <row r="44" spans="1:16" customFormat="1" ht="15.6" x14ac:dyDescent="0.3">
      <c r="A44" s="107">
        <v>19</v>
      </c>
      <c r="B44" s="108"/>
      <c r="C44" s="108"/>
      <c r="D44" s="108"/>
      <c r="E44" s="108"/>
      <c r="F44" s="108" t="s">
        <v>126</v>
      </c>
      <c r="G44" s="109" t="s">
        <v>35</v>
      </c>
      <c r="H44" s="109">
        <v>1.1499999999999999</v>
      </c>
      <c r="I44" s="109">
        <v>1287.32</v>
      </c>
      <c r="J44" s="131">
        <f t="shared" ref="J44:J45" si="21">K44+L44</f>
        <v>0</v>
      </c>
      <c r="K44" s="132"/>
      <c r="L44" s="133"/>
      <c r="M44" s="131">
        <f t="shared" ref="M44:M45" si="22">N44+O44</f>
        <v>0</v>
      </c>
      <c r="N44" s="131"/>
      <c r="O44" s="131">
        <f t="shared" ref="O44:O45" si="23">L44*I44</f>
        <v>0</v>
      </c>
      <c r="P44" s="137" t="s">
        <v>214</v>
      </c>
    </row>
    <row r="45" spans="1:16" customFormat="1" ht="15.6" x14ac:dyDescent="0.3">
      <c r="A45" s="107">
        <v>20</v>
      </c>
      <c r="B45" s="108"/>
      <c r="C45" s="108"/>
      <c r="D45" s="108"/>
      <c r="E45" s="108"/>
      <c r="F45" s="108" t="s">
        <v>131</v>
      </c>
      <c r="G45" s="109" t="s">
        <v>123</v>
      </c>
      <c r="H45" s="109">
        <v>1</v>
      </c>
      <c r="I45" s="109">
        <v>709</v>
      </c>
      <c r="J45" s="131">
        <f t="shared" si="21"/>
        <v>0</v>
      </c>
      <c r="K45" s="132"/>
      <c r="L45" s="133"/>
      <c r="M45" s="131">
        <f t="shared" si="22"/>
        <v>0</v>
      </c>
      <c r="N45" s="131"/>
      <c r="O45" s="131">
        <f t="shared" si="23"/>
        <v>0</v>
      </c>
      <c r="P45" s="137" t="s">
        <v>214</v>
      </c>
    </row>
    <row r="46" spans="1:16" customFormat="1" ht="23.25" customHeight="1" x14ac:dyDescent="0.25">
      <c r="A46" s="99">
        <v>21</v>
      </c>
      <c r="B46" s="100"/>
      <c r="C46" s="100" t="s">
        <v>179</v>
      </c>
      <c r="D46" s="100"/>
      <c r="E46" s="100"/>
      <c r="F46" s="101" t="s">
        <v>136</v>
      </c>
      <c r="G46" s="102" t="s">
        <v>35</v>
      </c>
      <c r="H46" s="103"/>
      <c r="I46" s="104">
        <v>170</v>
      </c>
      <c r="J46" s="128">
        <f>K46+L46</f>
        <v>0</v>
      </c>
      <c r="K46" s="129"/>
      <c r="L46" s="130"/>
      <c r="M46" s="128">
        <f>N46+O46</f>
        <v>0</v>
      </c>
      <c r="N46" s="128">
        <f>K46*I46</f>
        <v>0</v>
      </c>
      <c r="O46" s="128"/>
      <c r="P46" s="136"/>
    </row>
    <row r="47" spans="1:16" customFormat="1" ht="15.6" x14ac:dyDescent="0.3">
      <c r="A47" s="107">
        <v>22</v>
      </c>
      <c r="B47" s="108"/>
      <c r="C47" s="108"/>
      <c r="D47" s="108"/>
      <c r="E47" s="108"/>
      <c r="F47" s="108" t="s">
        <v>128</v>
      </c>
      <c r="G47" s="109" t="s">
        <v>9</v>
      </c>
      <c r="H47" s="109">
        <v>1.1000000000000001</v>
      </c>
      <c r="I47" s="109">
        <v>67.319999999999993</v>
      </c>
      <c r="J47" s="131">
        <f t="shared" ref="J47:J48" si="24">K47+L47</f>
        <v>0</v>
      </c>
      <c r="K47" s="132"/>
      <c r="L47" s="133"/>
      <c r="M47" s="131">
        <f t="shared" ref="M47:M48" si="25">N47+O47</f>
        <v>0</v>
      </c>
      <c r="N47" s="131"/>
      <c r="O47" s="131">
        <f t="shared" ref="O47:O48" si="26">L47*I47</f>
        <v>0</v>
      </c>
      <c r="P47" s="137" t="s">
        <v>214</v>
      </c>
    </row>
    <row r="48" spans="1:16" customFormat="1" ht="15.6" x14ac:dyDescent="0.3">
      <c r="A48" s="107">
        <v>23</v>
      </c>
      <c r="B48" s="108"/>
      <c r="C48" s="108"/>
      <c r="D48" s="108"/>
      <c r="E48" s="108"/>
      <c r="F48" s="108" t="s">
        <v>129</v>
      </c>
      <c r="G48" s="109" t="s">
        <v>132</v>
      </c>
      <c r="H48" s="109">
        <v>0.1</v>
      </c>
      <c r="I48" s="109">
        <v>17</v>
      </c>
      <c r="J48" s="131">
        <f t="shared" si="24"/>
        <v>0</v>
      </c>
      <c r="K48" s="132"/>
      <c r="L48" s="133"/>
      <c r="M48" s="131">
        <f t="shared" si="25"/>
        <v>0</v>
      </c>
      <c r="N48" s="131"/>
      <c r="O48" s="131">
        <f t="shared" si="26"/>
        <v>0</v>
      </c>
      <c r="P48" s="137" t="s">
        <v>214</v>
      </c>
    </row>
    <row r="49" spans="1:16" customFormat="1" ht="23.25" customHeight="1" x14ac:dyDescent="0.25">
      <c r="A49" s="99">
        <v>24</v>
      </c>
      <c r="B49" s="100"/>
      <c r="C49" s="100" t="s">
        <v>184</v>
      </c>
      <c r="D49" s="100"/>
      <c r="E49" s="100"/>
      <c r="F49" s="101" t="s">
        <v>127</v>
      </c>
      <c r="G49" s="102" t="s">
        <v>35</v>
      </c>
      <c r="H49" s="103"/>
      <c r="I49" s="104">
        <v>170</v>
      </c>
      <c r="J49" s="128">
        <f>K49+L49</f>
        <v>0</v>
      </c>
      <c r="K49" s="129"/>
      <c r="L49" s="130"/>
      <c r="M49" s="128">
        <f>N49+O49</f>
        <v>0</v>
      </c>
      <c r="N49" s="128">
        <f>K49*I49</f>
        <v>0</v>
      </c>
      <c r="O49" s="128"/>
      <c r="P49" s="136"/>
    </row>
    <row r="50" spans="1:16" customFormat="1" ht="31.2" x14ac:dyDescent="0.3">
      <c r="A50" s="107">
        <v>25</v>
      </c>
      <c r="B50" s="108"/>
      <c r="C50" s="108"/>
      <c r="D50" s="108"/>
      <c r="E50" s="108"/>
      <c r="F50" s="108" t="s">
        <v>143</v>
      </c>
      <c r="G50" s="109" t="s">
        <v>35</v>
      </c>
      <c r="H50" s="109">
        <v>1.05</v>
      </c>
      <c r="I50" s="109">
        <v>152.09</v>
      </c>
      <c r="J50" s="131">
        <f t="shared" ref="J50:J51" si="27">K50+L50</f>
        <v>0</v>
      </c>
      <c r="K50" s="132"/>
      <c r="L50" s="133"/>
      <c r="M50" s="131">
        <f t="shared" ref="M50:M51" si="28">N50+O50</f>
        <v>0</v>
      </c>
      <c r="N50" s="131"/>
      <c r="O50" s="131">
        <f t="shared" ref="O50:O51" si="29">L50*I50</f>
        <v>0</v>
      </c>
      <c r="P50" s="137" t="s">
        <v>214</v>
      </c>
    </row>
    <row r="51" spans="1:16" customFormat="1" ht="15.6" x14ac:dyDescent="0.3">
      <c r="A51" s="107">
        <v>26</v>
      </c>
      <c r="B51" s="108"/>
      <c r="C51" s="108"/>
      <c r="D51" s="108"/>
      <c r="E51" s="108"/>
      <c r="F51" s="108" t="s">
        <v>129</v>
      </c>
      <c r="G51" s="109" t="s">
        <v>132</v>
      </c>
      <c r="H51" s="109">
        <v>0.13</v>
      </c>
      <c r="I51" s="109">
        <v>21</v>
      </c>
      <c r="J51" s="131">
        <f t="shared" si="27"/>
        <v>0</v>
      </c>
      <c r="K51" s="132"/>
      <c r="L51" s="133"/>
      <c r="M51" s="131">
        <f t="shared" si="28"/>
        <v>0</v>
      </c>
      <c r="N51" s="131"/>
      <c r="O51" s="131">
        <f t="shared" si="29"/>
        <v>0</v>
      </c>
      <c r="P51" s="137" t="s">
        <v>214</v>
      </c>
    </row>
    <row r="52" spans="1:16" customFormat="1" ht="23.25" customHeight="1" x14ac:dyDescent="0.25">
      <c r="A52" s="99"/>
      <c r="B52" s="100"/>
      <c r="C52" s="100"/>
      <c r="D52" s="100"/>
      <c r="E52" s="100"/>
      <c r="F52" s="101" t="s">
        <v>133</v>
      </c>
      <c r="G52" s="102"/>
      <c r="H52" s="103"/>
      <c r="I52" s="104"/>
      <c r="J52" s="105"/>
      <c r="K52" s="105"/>
      <c r="L52" s="105"/>
      <c r="M52" s="105"/>
      <c r="N52" s="105"/>
      <c r="O52" s="105"/>
      <c r="P52" s="136"/>
    </row>
    <row r="53" spans="1:16" customFormat="1" ht="23.25" customHeight="1" x14ac:dyDescent="0.25">
      <c r="A53" s="99">
        <v>27</v>
      </c>
      <c r="B53" s="100" t="s">
        <v>185</v>
      </c>
      <c r="C53" s="100" t="s">
        <v>179</v>
      </c>
      <c r="D53" s="100"/>
      <c r="E53" s="100"/>
      <c r="F53" s="101" t="s">
        <v>139</v>
      </c>
      <c r="G53" s="102" t="s">
        <v>101</v>
      </c>
      <c r="H53" s="103"/>
      <c r="I53" s="104">
        <v>54</v>
      </c>
      <c r="J53" s="128">
        <f>K53+L53</f>
        <v>0</v>
      </c>
      <c r="K53" s="129"/>
      <c r="L53" s="130"/>
      <c r="M53" s="128">
        <f>N53+O53</f>
        <v>0</v>
      </c>
      <c r="N53" s="128">
        <f>K53*I53</f>
        <v>0</v>
      </c>
      <c r="O53" s="128"/>
      <c r="P53" s="136"/>
    </row>
    <row r="54" spans="1:16" customFormat="1" ht="15.6" x14ac:dyDescent="0.3">
      <c r="A54" s="107">
        <v>28</v>
      </c>
      <c r="B54" s="108"/>
      <c r="C54" s="108"/>
      <c r="D54" s="108"/>
      <c r="E54" s="108"/>
      <c r="F54" s="108" t="s">
        <v>140</v>
      </c>
      <c r="G54" s="109" t="s">
        <v>70</v>
      </c>
      <c r="H54" s="109">
        <v>3</v>
      </c>
      <c r="I54" s="109">
        <v>162</v>
      </c>
      <c r="J54" s="131">
        <f t="shared" ref="J54" si="30">K54+L54</f>
        <v>0</v>
      </c>
      <c r="K54" s="132"/>
      <c r="L54" s="133"/>
      <c r="M54" s="131">
        <f t="shared" ref="M54" si="31">N54+O54</f>
        <v>0</v>
      </c>
      <c r="N54" s="131"/>
      <c r="O54" s="131">
        <f t="shared" ref="O54" si="32">L54*I54</f>
        <v>0</v>
      </c>
      <c r="P54" s="137" t="s">
        <v>214</v>
      </c>
    </row>
    <row r="55" spans="1:16" customFormat="1" ht="23.25" customHeight="1" x14ac:dyDescent="0.25">
      <c r="A55" s="99">
        <v>29</v>
      </c>
      <c r="B55" s="100" t="s">
        <v>186</v>
      </c>
      <c r="C55" s="100" t="s">
        <v>179</v>
      </c>
      <c r="D55" s="100"/>
      <c r="E55" s="100"/>
      <c r="F55" s="101" t="s">
        <v>134</v>
      </c>
      <c r="G55" s="102" t="s">
        <v>35</v>
      </c>
      <c r="H55" s="103"/>
      <c r="I55" s="104">
        <v>81.48</v>
      </c>
      <c r="J55" s="128">
        <f>K55+L55</f>
        <v>0</v>
      </c>
      <c r="K55" s="129"/>
      <c r="L55" s="130"/>
      <c r="M55" s="128">
        <f>N55+O55</f>
        <v>0</v>
      </c>
      <c r="N55" s="128">
        <f>K55*I55</f>
        <v>0</v>
      </c>
      <c r="O55" s="128"/>
      <c r="P55" s="136"/>
    </row>
    <row r="56" spans="1:16" customFormat="1" ht="15.6" x14ac:dyDescent="0.3">
      <c r="A56" s="107">
        <v>30</v>
      </c>
      <c r="B56" s="108"/>
      <c r="C56" s="108"/>
      <c r="D56" s="108"/>
      <c r="E56" s="108"/>
      <c r="F56" s="108" t="s">
        <v>142</v>
      </c>
      <c r="G56" s="109" t="s">
        <v>70</v>
      </c>
      <c r="H56" s="109">
        <v>2</v>
      </c>
      <c r="I56" s="109">
        <v>162.96</v>
      </c>
      <c r="J56" s="131">
        <f t="shared" ref="J56:J57" si="33">K56+L56</f>
        <v>0</v>
      </c>
      <c r="K56" s="132"/>
      <c r="L56" s="133"/>
      <c r="M56" s="131">
        <f t="shared" ref="M56:M57" si="34">N56+O56</f>
        <v>0</v>
      </c>
      <c r="N56" s="131"/>
      <c r="O56" s="131">
        <f t="shared" ref="O56:O57" si="35">L56*I56</f>
        <v>0</v>
      </c>
      <c r="P56" s="137" t="s">
        <v>214</v>
      </c>
    </row>
    <row r="57" spans="1:16" customFormat="1" ht="15.6" x14ac:dyDescent="0.3">
      <c r="A57" s="107">
        <v>31</v>
      </c>
      <c r="B57" s="108"/>
      <c r="C57" s="108"/>
      <c r="D57" s="108"/>
      <c r="E57" s="108"/>
      <c r="F57" s="108" t="s">
        <v>141</v>
      </c>
      <c r="G57" s="109" t="s">
        <v>70</v>
      </c>
      <c r="H57" s="109">
        <v>3</v>
      </c>
      <c r="I57" s="109">
        <v>244.44</v>
      </c>
      <c r="J57" s="131">
        <f t="shared" si="33"/>
        <v>0</v>
      </c>
      <c r="K57" s="132"/>
      <c r="L57" s="133"/>
      <c r="M57" s="131">
        <f t="shared" si="34"/>
        <v>0</v>
      </c>
      <c r="N57" s="131"/>
      <c r="O57" s="131">
        <f t="shared" si="35"/>
        <v>0</v>
      </c>
      <c r="P57" s="137" t="s">
        <v>214</v>
      </c>
    </row>
    <row r="58" spans="1:16" customFormat="1" ht="15.6" x14ac:dyDescent="0.3">
      <c r="A58" s="116"/>
      <c r="B58" s="117"/>
      <c r="C58" s="117"/>
      <c r="D58" s="117"/>
      <c r="E58" s="117"/>
      <c r="F58" s="114"/>
      <c r="G58" s="114"/>
      <c r="H58" s="114"/>
      <c r="I58" s="114"/>
      <c r="J58" s="168" t="s">
        <v>215</v>
      </c>
      <c r="K58" s="169"/>
      <c r="L58" s="170"/>
      <c r="M58" s="139">
        <f>N58+O58</f>
        <v>0</v>
      </c>
      <c r="N58" s="139">
        <f>SUM(N26:N57)</f>
        <v>0</v>
      </c>
      <c r="O58" s="139">
        <f>SUM(O26:O57)</f>
        <v>0</v>
      </c>
      <c r="P58" s="137"/>
    </row>
    <row r="59" spans="1:16" customFormat="1" ht="15.6" x14ac:dyDescent="0.3">
      <c r="A59" s="113"/>
      <c r="B59" s="114"/>
      <c r="C59" s="114"/>
      <c r="D59" s="114"/>
      <c r="E59" s="114"/>
      <c r="F59" s="114"/>
      <c r="G59" s="114"/>
      <c r="H59" s="114"/>
      <c r="I59" s="114"/>
      <c r="J59" s="168" t="s">
        <v>216</v>
      </c>
      <c r="K59" s="169"/>
      <c r="L59" s="170"/>
      <c r="M59" s="140">
        <f>M58*1.22</f>
        <v>0</v>
      </c>
      <c r="N59" s="141"/>
      <c r="O59" s="141"/>
      <c r="P59" s="137"/>
    </row>
    <row r="60" spans="1:16" customFormat="1" ht="15.6" x14ac:dyDescent="0.3">
      <c r="A60" s="113"/>
      <c r="B60" s="114"/>
      <c r="C60" s="114"/>
      <c r="D60" s="114"/>
      <c r="E60" s="114"/>
      <c r="F60" s="114"/>
      <c r="G60" s="114"/>
      <c r="H60" s="114"/>
      <c r="I60" s="114"/>
      <c r="J60" s="155"/>
      <c r="K60" s="155"/>
      <c r="L60" s="155"/>
      <c r="M60" s="115"/>
      <c r="N60" s="115"/>
      <c r="O60" s="115"/>
      <c r="P60" s="137"/>
    </row>
    <row r="61" spans="1:16" customFormat="1" ht="15.6" x14ac:dyDescent="0.25">
      <c r="A61" s="156" t="s">
        <v>188</v>
      </c>
      <c r="B61" s="156"/>
      <c r="C61" s="156"/>
      <c r="D61" s="156"/>
      <c r="E61" s="156"/>
      <c r="F61" s="156"/>
      <c r="G61" s="157">
        <v>46249</v>
      </c>
      <c r="H61" s="157"/>
      <c r="I61" s="157"/>
      <c r="J61" s="157"/>
      <c r="K61" s="158"/>
      <c r="L61" s="158"/>
      <c r="M61" s="158"/>
      <c r="N61" s="158"/>
      <c r="O61" s="158"/>
      <c r="P61" s="158"/>
    </row>
    <row r="62" spans="1:16" customFormat="1" ht="15.6" x14ac:dyDescent="0.25">
      <c r="A62" s="156" t="s">
        <v>189</v>
      </c>
      <c r="B62" s="156"/>
      <c r="C62" s="156"/>
      <c r="D62" s="156"/>
      <c r="E62" s="156"/>
      <c r="F62" s="156"/>
      <c r="G62" s="157">
        <v>46320</v>
      </c>
      <c r="H62" s="157"/>
      <c r="I62" s="157"/>
      <c r="J62" s="157"/>
      <c r="K62" s="158"/>
      <c r="L62" s="158"/>
      <c r="M62" s="158"/>
      <c r="N62" s="158"/>
      <c r="O62" s="158"/>
      <c r="P62" s="158"/>
    </row>
    <row r="63" spans="1:16" customFormat="1" ht="15.6" x14ac:dyDescent="0.25">
      <c r="A63" s="156" t="s">
        <v>190</v>
      </c>
      <c r="B63" s="156"/>
      <c r="C63" s="156"/>
      <c r="D63" s="156"/>
      <c r="E63" s="156"/>
      <c r="F63" s="156"/>
      <c r="G63" s="159" t="s">
        <v>191</v>
      </c>
      <c r="H63" s="159"/>
      <c r="I63" s="159"/>
      <c r="J63" s="159"/>
      <c r="K63" s="158"/>
      <c r="L63" s="158"/>
      <c r="M63" s="158"/>
      <c r="N63" s="158"/>
      <c r="O63" s="158"/>
      <c r="P63" s="158"/>
    </row>
    <row r="64" spans="1:16" customFormat="1" ht="15.6" x14ac:dyDescent="0.25">
      <c r="A64" s="156" t="s">
        <v>192</v>
      </c>
      <c r="B64" s="156"/>
      <c r="C64" s="156"/>
      <c r="D64" s="156"/>
      <c r="E64" s="156"/>
      <c r="F64" s="156"/>
      <c r="G64" s="159" t="s">
        <v>191</v>
      </c>
      <c r="H64" s="159"/>
      <c r="I64" s="159"/>
      <c r="J64" s="159"/>
      <c r="K64" s="158"/>
      <c r="L64" s="158"/>
      <c r="M64" s="158"/>
      <c r="N64" s="158"/>
      <c r="O64" s="158"/>
      <c r="P64" s="158"/>
    </row>
    <row r="65" spans="1:16" customFormat="1" ht="15.6" x14ac:dyDescent="0.25">
      <c r="A65" s="156" t="s">
        <v>193</v>
      </c>
      <c r="B65" s="156"/>
      <c r="C65" s="156"/>
      <c r="D65" s="156"/>
      <c r="E65" s="156"/>
      <c r="F65" s="156"/>
      <c r="G65" s="159" t="s">
        <v>191</v>
      </c>
      <c r="H65" s="159"/>
      <c r="I65" s="159"/>
      <c r="J65" s="159"/>
      <c r="K65" s="158"/>
      <c r="L65" s="158"/>
      <c r="M65" s="158"/>
      <c r="N65" s="158"/>
      <c r="O65" s="158"/>
      <c r="P65" s="158"/>
    </row>
    <row r="66" spans="1:16" customFormat="1" ht="15.6" x14ac:dyDescent="0.25">
      <c r="A66" s="156" t="s">
        <v>194</v>
      </c>
      <c r="B66" s="156"/>
      <c r="C66" s="156"/>
      <c r="D66" s="156"/>
      <c r="E66" s="156"/>
      <c r="F66" s="156"/>
      <c r="G66" s="159" t="s">
        <v>191</v>
      </c>
      <c r="H66" s="159"/>
      <c r="I66" s="159"/>
      <c r="J66" s="159"/>
      <c r="K66" s="158"/>
      <c r="L66" s="158"/>
      <c r="M66" s="158"/>
      <c r="N66" s="158"/>
      <c r="O66" s="158"/>
      <c r="P66" s="158"/>
    </row>
    <row r="67" spans="1:16" customFormat="1" ht="15.6" x14ac:dyDescent="0.25">
      <c r="A67" s="156" t="s">
        <v>195</v>
      </c>
      <c r="B67" s="156"/>
      <c r="C67" s="156"/>
      <c r="D67" s="156"/>
      <c r="E67" s="156"/>
      <c r="F67" s="156"/>
      <c r="G67" s="159" t="s">
        <v>196</v>
      </c>
      <c r="H67" s="159"/>
      <c r="I67" s="159"/>
      <c r="J67" s="159"/>
      <c r="K67" s="158"/>
      <c r="L67" s="158"/>
      <c r="M67" s="158"/>
      <c r="N67" s="158"/>
      <c r="O67" s="158"/>
      <c r="P67" s="158"/>
    </row>
    <row r="68" spans="1:16" customFormat="1" ht="15.6" x14ac:dyDescent="0.25">
      <c r="A68" s="156" t="s">
        <v>197</v>
      </c>
      <c r="B68" s="156"/>
      <c r="C68" s="156"/>
      <c r="D68" s="156"/>
      <c r="E68" s="156"/>
      <c r="F68" s="156"/>
      <c r="G68" s="159" t="s">
        <v>198</v>
      </c>
      <c r="H68" s="159"/>
      <c r="I68" s="159"/>
      <c r="J68" s="159"/>
      <c r="K68" s="158"/>
      <c r="L68" s="158"/>
      <c r="M68" s="158"/>
      <c r="N68" s="158"/>
      <c r="O68" s="158"/>
      <c r="P68" s="158"/>
    </row>
    <row r="69" spans="1:16" customFormat="1" ht="15.6" x14ac:dyDescent="0.25">
      <c r="A69" s="156" t="s">
        <v>199</v>
      </c>
      <c r="B69" s="156"/>
      <c r="C69" s="156"/>
      <c r="D69" s="156"/>
      <c r="E69" s="156"/>
      <c r="F69" s="156"/>
      <c r="G69" s="159" t="s">
        <v>171</v>
      </c>
      <c r="H69" s="159"/>
      <c r="I69" s="159"/>
      <c r="J69" s="159"/>
      <c r="K69" s="158"/>
      <c r="L69" s="158"/>
      <c r="M69" s="158"/>
      <c r="N69" s="158"/>
      <c r="O69" s="158"/>
      <c r="P69" s="158"/>
    </row>
    <row r="70" spans="1:16" customFormat="1" ht="15.6" x14ac:dyDescent="0.25">
      <c r="A70" s="156" t="s">
        <v>200</v>
      </c>
      <c r="B70" s="156"/>
      <c r="C70" s="156"/>
      <c r="D70" s="156"/>
      <c r="E70" s="156"/>
      <c r="F70" s="156"/>
      <c r="G70" s="159" t="s">
        <v>201</v>
      </c>
      <c r="H70" s="159"/>
      <c r="I70" s="159"/>
      <c r="J70" s="159"/>
      <c r="K70" s="158"/>
      <c r="L70" s="158"/>
      <c r="M70" s="158"/>
      <c r="N70" s="158"/>
      <c r="O70" s="158"/>
      <c r="P70" s="158"/>
    </row>
    <row r="71" spans="1:16" customFormat="1" ht="15.6" x14ac:dyDescent="0.25">
      <c r="A71" s="156" t="s">
        <v>202</v>
      </c>
      <c r="B71" s="156"/>
      <c r="C71" s="156"/>
      <c r="D71" s="156"/>
      <c r="E71" s="156"/>
      <c r="F71" s="156"/>
      <c r="G71" s="160"/>
      <c r="H71" s="160"/>
      <c r="I71" s="160"/>
      <c r="J71" s="160"/>
      <c r="K71" s="158"/>
      <c r="L71" s="158"/>
      <c r="M71" s="158"/>
      <c r="N71" s="158"/>
      <c r="O71" s="158"/>
      <c r="P71" s="158"/>
    </row>
    <row r="72" spans="1:16" ht="17.399999999999999" x14ac:dyDescent="0.25">
      <c r="A72" s="161" t="s">
        <v>203</v>
      </c>
      <c r="B72" s="161"/>
      <c r="C72" s="161"/>
      <c r="D72" s="161"/>
      <c r="E72" s="161"/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</row>
    <row r="73" spans="1:16" ht="14.4" x14ac:dyDescent="0.3">
      <c r="A73" s="162" t="s">
        <v>204</v>
      </c>
      <c r="B73" s="162"/>
      <c r="C73" s="162"/>
      <c r="D73" s="162"/>
      <c r="E73" s="162"/>
      <c r="F73" s="162"/>
      <c r="G73" s="118"/>
      <c r="H73" s="119"/>
      <c r="I73" s="119"/>
      <c r="J73" s="119"/>
      <c r="K73" s="119"/>
      <c r="L73" s="119"/>
      <c r="M73" s="119"/>
      <c r="N73" s="119"/>
      <c r="O73" s="119"/>
      <c r="P73" s="138"/>
    </row>
    <row r="74" spans="1:16" ht="14.4" x14ac:dyDescent="0.3">
      <c r="A74" s="163" t="s">
        <v>205</v>
      </c>
      <c r="B74" s="163"/>
      <c r="C74" s="163"/>
      <c r="D74" s="163"/>
      <c r="E74" s="163"/>
      <c r="F74" s="163"/>
      <c r="G74" s="118"/>
      <c r="H74" s="119"/>
      <c r="I74" s="119"/>
      <c r="J74" s="119"/>
      <c r="K74" s="119"/>
      <c r="L74" s="119"/>
      <c r="M74" s="119"/>
      <c r="N74" s="119"/>
      <c r="O74" s="119"/>
      <c r="P74" s="138"/>
    </row>
    <row r="75" spans="1:16" ht="27.6" x14ac:dyDescent="0.3">
      <c r="A75" s="120" t="s">
        <v>206</v>
      </c>
      <c r="B75" s="121" t="s">
        <v>207</v>
      </c>
      <c r="C75" s="121" t="s">
        <v>208</v>
      </c>
      <c r="D75" s="120" t="s">
        <v>120</v>
      </c>
      <c r="E75" s="164" t="s">
        <v>22</v>
      </c>
      <c r="F75" s="164"/>
      <c r="G75" s="118"/>
      <c r="H75" s="119"/>
      <c r="I75" s="119"/>
      <c r="J75" s="119"/>
      <c r="K75" s="119"/>
      <c r="L75" s="119"/>
      <c r="M75" s="119"/>
      <c r="N75" s="119"/>
      <c r="O75" s="119"/>
      <c r="P75" s="138"/>
    </row>
    <row r="76" spans="1:16" ht="14.4" x14ac:dyDescent="0.3">
      <c r="A76" s="121">
        <v>1</v>
      </c>
      <c r="B76" s="122"/>
      <c r="C76" s="121"/>
      <c r="D76" s="121"/>
      <c r="E76" s="165"/>
      <c r="F76" s="165"/>
      <c r="G76" s="118"/>
      <c r="H76" s="119"/>
      <c r="I76" s="119"/>
      <c r="J76" s="119"/>
      <c r="K76" s="119"/>
      <c r="L76" s="119"/>
      <c r="M76" s="119"/>
      <c r="N76" s="119"/>
      <c r="O76" s="119"/>
      <c r="P76" s="138"/>
    </row>
    <row r="77" spans="1:16" ht="14.4" x14ac:dyDescent="0.3">
      <c r="A77" s="123" t="s">
        <v>209</v>
      </c>
      <c r="B77" s="124"/>
      <c r="C77" s="125"/>
      <c r="D77" s="125"/>
      <c r="E77" s="166"/>
      <c r="F77" s="166"/>
      <c r="G77" s="118"/>
      <c r="H77" s="119"/>
      <c r="I77" s="119"/>
      <c r="J77" s="119"/>
      <c r="K77" s="119"/>
      <c r="L77" s="119"/>
      <c r="M77" s="119"/>
      <c r="N77" s="119"/>
      <c r="O77" s="119"/>
      <c r="P77" s="138"/>
    </row>
    <row r="78" spans="1:16" ht="14.4" x14ac:dyDescent="0.3">
      <c r="A78" s="126" t="s">
        <v>210</v>
      </c>
      <c r="B78" s="124"/>
      <c r="C78" s="125"/>
      <c r="D78" s="125"/>
      <c r="E78" s="166"/>
      <c r="F78" s="166"/>
      <c r="G78" s="118"/>
      <c r="H78" s="119"/>
      <c r="I78" s="119"/>
      <c r="J78" s="119"/>
      <c r="K78" s="119"/>
      <c r="L78" s="119"/>
      <c r="M78" s="119"/>
      <c r="N78" s="119"/>
      <c r="O78" s="119"/>
      <c r="P78" s="138"/>
    </row>
    <row r="79" spans="1:16" ht="14.4" x14ac:dyDescent="0.3">
      <c r="A79" s="121">
        <v>2</v>
      </c>
      <c r="B79" s="122"/>
      <c r="C79" s="121"/>
      <c r="D79" s="121"/>
      <c r="E79" s="165"/>
      <c r="F79" s="165"/>
      <c r="G79" s="118"/>
      <c r="H79" s="119"/>
      <c r="I79" s="119"/>
      <c r="J79" s="119"/>
      <c r="K79" s="119"/>
      <c r="L79" s="119"/>
      <c r="M79" s="119"/>
      <c r="N79" s="119"/>
      <c r="O79" s="119"/>
      <c r="P79" s="138"/>
    </row>
    <row r="80" spans="1:16" ht="14.4" x14ac:dyDescent="0.3">
      <c r="A80" s="127" t="s">
        <v>211</v>
      </c>
      <c r="B80" s="124"/>
      <c r="C80" s="125"/>
      <c r="D80" s="125"/>
      <c r="E80" s="166"/>
      <c r="F80" s="166"/>
      <c r="G80" s="118"/>
      <c r="H80" s="119"/>
      <c r="I80" s="119"/>
      <c r="J80" s="119"/>
      <c r="K80" s="119"/>
      <c r="L80" s="119"/>
      <c r="M80" s="119"/>
      <c r="N80" s="119"/>
      <c r="O80" s="119"/>
      <c r="P80" s="138"/>
    </row>
    <row r="81" spans="1:16" ht="14.4" x14ac:dyDescent="0.3">
      <c r="A81" s="127" t="s">
        <v>212</v>
      </c>
      <c r="B81" s="124"/>
      <c r="C81" s="125"/>
      <c r="D81" s="125"/>
      <c r="E81" s="166"/>
      <c r="F81" s="166"/>
      <c r="G81" s="118"/>
      <c r="H81" s="119"/>
      <c r="I81" s="119"/>
      <c r="J81" s="119"/>
      <c r="K81" s="119"/>
      <c r="L81" s="119"/>
      <c r="M81" s="119"/>
      <c r="N81" s="119"/>
      <c r="O81" s="119"/>
      <c r="P81" s="138"/>
    </row>
    <row r="82" spans="1:16" ht="14.4" x14ac:dyDescent="0.3">
      <c r="A82" s="121">
        <v>3</v>
      </c>
      <c r="B82" s="122"/>
      <c r="C82" s="121"/>
      <c r="D82" s="121"/>
      <c r="E82" s="166"/>
      <c r="F82" s="166"/>
      <c r="G82" s="118"/>
      <c r="H82" s="119"/>
      <c r="I82" s="119"/>
      <c r="J82" s="119"/>
      <c r="K82" s="119"/>
      <c r="L82" s="119"/>
      <c r="M82" s="119"/>
      <c r="N82" s="119"/>
      <c r="O82" s="119"/>
      <c r="P82" s="138"/>
    </row>
    <row r="83" spans="1:16" ht="14.4" x14ac:dyDescent="0.3">
      <c r="A83" s="121">
        <v>4</v>
      </c>
      <c r="B83" s="122"/>
      <c r="C83" s="121"/>
      <c r="D83" s="121"/>
      <c r="E83" s="166"/>
      <c r="F83" s="166"/>
      <c r="G83" s="118"/>
      <c r="H83" s="119"/>
      <c r="I83" s="119"/>
      <c r="J83" s="119"/>
      <c r="K83" s="119"/>
      <c r="L83" s="119"/>
      <c r="M83" s="119"/>
      <c r="N83" s="119"/>
      <c r="O83" s="119"/>
      <c r="P83" s="138"/>
    </row>
    <row r="84" spans="1:16" ht="14.4" x14ac:dyDescent="0.3">
      <c r="A84" s="121">
        <v>5</v>
      </c>
      <c r="B84" s="122"/>
      <c r="C84" s="121"/>
      <c r="D84" s="121"/>
      <c r="E84" s="166"/>
      <c r="F84" s="166"/>
      <c r="G84" s="118"/>
      <c r="H84" s="119"/>
      <c r="I84" s="119"/>
      <c r="J84" s="119"/>
      <c r="K84" s="119"/>
      <c r="L84" s="119"/>
      <c r="M84" s="119"/>
      <c r="N84" s="119"/>
      <c r="O84" s="119"/>
      <c r="P84" s="138"/>
    </row>
    <row r="85" spans="1:16" ht="14.4" x14ac:dyDescent="0.3">
      <c r="A85" s="121">
        <v>6</v>
      </c>
      <c r="B85" s="122"/>
      <c r="C85" s="121"/>
      <c r="D85" s="121"/>
      <c r="E85" s="166"/>
      <c r="F85" s="166"/>
      <c r="G85" s="118"/>
      <c r="H85" s="119"/>
      <c r="I85" s="119"/>
      <c r="J85" s="119"/>
      <c r="K85" s="119"/>
      <c r="L85" s="119"/>
      <c r="M85" s="119"/>
      <c r="N85" s="119"/>
      <c r="O85" s="119"/>
      <c r="P85" s="138"/>
    </row>
    <row r="86" spans="1:16" ht="14.4" x14ac:dyDescent="0.3">
      <c r="A86" s="121">
        <v>7</v>
      </c>
      <c r="B86" s="122"/>
      <c r="C86" s="121"/>
      <c r="D86" s="121"/>
      <c r="E86" s="166"/>
      <c r="F86" s="166"/>
      <c r="G86" s="118"/>
      <c r="H86" s="119"/>
      <c r="I86" s="119"/>
      <c r="J86" s="119"/>
      <c r="K86" s="119"/>
      <c r="L86" s="119"/>
      <c r="M86" s="119"/>
      <c r="N86" s="119"/>
      <c r="O86" s="119"/>
      <c r="P86" s="138"/>
    </row>
    <row r="87" spans="1:16" ht="14.4" x14ac:dyDescent="0.3">
      <c r="A87" s="121">
        <v>8</v>
      </c>
      <c r="B87" s="122"/>
      <c r="C87" s="121"/>
      <c r="D87" s="121"/>
      <c r="E87" s="166"/>
      <c r="F87" s="166"/>
      <c r="G87" s="118"/>
      <c r="H87" s="119"/>
      <c r="I87" s="119"/>
      <c r="J87" s="119"/>
      <c r="K87" s="119"/>
      <c r="L87" s="119"/>
      <c r="M87" s="119"/>
      <c r="N87" s="119"/>
      <c r="O87" s="119"/>
      <c r="P87" s="138"/>
    </row>
  </sheetData>
  <mergeCells count="89">
    <mergeCell ref="E87:F87"/>
    <mergeCell ref="E81:F81"/>
    <mergeCell ref="E82:F82"/>
    <mergeCell ref="E83:F83"/>
    <mergeCell ref="E84:F84"/>
    <mergeCell ref="E85:F85"/>
    <mergeCell ref="E86:F86"/>
    <mergeCell ref="E80:F80"/>
    <mergeCell ref="A71:F71"/>
    <mergeCell ref="G71:J71"/>
    <mergeCell ref="K71:P71"/>
    <mergeCell ref="A72:P72"/>
    <mergeCell ref="A73:F73"/>
    <mergeCell ref="A74:F74"/>
    <mergeCell ref="E75:F75"/>
    <mergeCell ref="E76:F76"/>
    <mergeCell ref="E77:F77"/>
    <mergeCell ref="E78:F78"/>
    <mergeCell ref="E79:F79"/>
    <mergeCell ref="A69:F69"/>
    <mergeCell ref="G69:J69"/>
    <mergeCell ref="K69:P69"/>
    <mergeCell ref="A70:F70"/>
    <mergeCell ref="G70:J70"/>
    <mergeCell ref="K70:P70"/>
    <mergeCell ref="A67:F67"/>
    <mergeCell ref="G67:J67"/>
    <mergeCell ref="K67:P67"/>
    <mergeCell ref="A68:F68"/>
    <mergeCell ref="G68:J68"/>
    <mergeCell ref="K68:P68"/>
    <mergeCell ref="A65:F65"/>
    <mergeCell ref="G65:J65"/>
    <mergeCell ref="K65:P65"/>
    <mergeCell ref="A66:F66"/>
    <mergeCell ref="G66:J66"/>
    <mergeCell ref="K66:P66"/>
    <mergeCell ref="A63:F63"/>
    <mergeCell ref="G63:J63"/>
    <mergeCell ref="K63:P63"/>
    <mergeCell ref="A64:F64"/>
    <mergeCell ref="G64:J64"/>
    <mergeCell ref="K64:P64"/>
    <mergeCell ref="M22:O22"/>
    <mergeCell ref="A22:A24"/>
    <mergeCell ref="J59:L59"/>
    <mergeCell ref="J60:L60"/>
    <mergeCell ref="A61:F61"/>
    <mergeCell ref="G61:J61"/>
    <mergeCell ref="K61:P61"/>
    <mergeCell ref="K20:P20"/>
    <mergeCell ref="A21:G21"/>
    <mergeCell ref="H21:J21"/>
    <mergeCell ref="K21:P21"/>
    <mergeCell ref="A62:F62"/>
    <mergeCell ref="G62:J62"/>
    <mergeCell ref="K62:P62"/>
    <mergeCell ref="P22:P24"/>
    <mergeCell ref="J23:J24"/>
    <mergeCell ref="K23:L23"/>
    <mergeCell ref="M23:M24"/>
    <mergeCell ref="N23:O23"/>
    <mergeCell ref="J58:L58"/>
    <mergeCell ref="F22:F24"/>
    <mergeCell ref="G22:G24"/>
    <mergeCell ref="H22:H24"/>
    <mergeCell ref="B22:B24"/>
    <mergeCell ref="C22:C24"/>
    <mergeCell ref="D22:D24"/>
    <mergeCell ref="E22:E24"/>
    <mergeCell ref="H17:J17"/>
    <mergeCell ref="A15:G20"/>
    <mergeCell ref="H15:J15"/>
    <mergeCell ref="H20:J20"/>
    <mergeCell ref="I22:I24"/>
    <mergeCell ref="J22:L22"/>
    <mergeCell ref="K17:P17"/>
    <mergeCell ref="H18:J18"/>
    <mergeCell ref="K18:P18"/>
    <mergeCell ref="H19:J19"/>
    <mergeCell ref="K19:P19"/>
    <mergeCell ref="K15:P15"/>
    <mergeCell ref="H16:J16"/>
    <mergeCell ref="K16:P16"/>
    <mergeCell ref="N5:O5"/>
    <mergeCell ref="A11:F11"/>
    <mergeCell ref="A12:P12"/>
    <mergeCell ref="A13:P13"/>
    <mergeCell ref="A14:P14"/>
  </mergeCells>
  <pageMargins left="0.7" right="0.7" top="0.75" bottom="0.75" header="0.3" footer="0.3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J222"/>
  <sheetViews>
    <sheetView showGridLines="0" view="pageBreakPreview" topLeftCell="A79" zoomScale="65" zoomScaleNormal="115" zoomScalePageLayoutView="65" workbookViewId="0">
      <selection activeCell="C93" sqref="C93"/>
    </sheetView>
  </sheetViews>
  <sheetFormatPr defaultColWidth="9.109375" defaultRowHeight="13.2" x14ac:dyDescent="0.25"/>
  <cols>
    <col min="1" max="1" width="3.5546875" style="8" customWidth="1"/>
    <col min="2" max="2" width="21.6640625" style="9" customWidth="1"/>
    <col min="3" max="3" width="42.44140625" style="1" customWidth="1"/>
    <col min="4" max="5" width="9.88671875" style="2" customWidth="1"/>
    <col min="6" max="6" width="14.5546875" style="3" customWidth="1"/>
    <col min="7" max="7" width="11.33203125" style="4" customWidth="1"/>
    <col min="8" max="8" width="15.5546875" style="3" customWidth="1"/>
    <col min="9" max="9" width="13.33203125" style="3" customWidth="1"/>
    <col min="10" max="10" width="13.6640625" style="3" customWidth="1"/>
    <col min="11" max="1024" width="9.109375" style="3"/>
  </cols>
  <sheetData>
    <row r="1" spans="1:12" ht="18" x14ac:dyDescent="0.35">
      <c r="B1" s="182" t="s">
        <v>12</v>
      </c>
      <c r="C1" s="182"/>
      <c r="D1" s="182"/>
      <c r="E1" s="182"/>
      <c r="F1" s="182"/>
      <c r="G1" s="182"/>
      <c r="H1" s="182"/>
      <c r="I1" s="182"/>
      <c r="J1" s="182"/>
      <c r="K1" s="10"/>
      <c r="L1" s="10"/>
    </row>
    <row r="4" spans="1:12" ht="15.6" x14ac:dyDescent="0.3">
      <c r="B4" s="11" t="s">
        <v>13</v>
      </c>
      <c r="F4" s="11" t="s">
        <v>14</v>
      </c>
      <c r="G4" s="11"/>
      <c r="H4" s="11"/>
      <c r="I4" s="11"/>
      <c r="J4" s="11"/>
    </row>
    <row r="5" spans="1:12" ht="15.6" x14ac:dyDescent="0.3">
      <c r="B5" s="12" t="s">
        <v>15</v>
      </c>
      <c r="F5" s="13" t="s">
        <v>16</v>
      </c>
      <c r="G5" s="13"/>
      <c r="H5" s="13"/>
      <c r="I5" s="13"/>
      <c r="J5" s="14"/>
    </row>
    <row r="6" spans="1:12" ht="15.6" x14ac:dyDescent="0.3">
      <c r="B6" s="15" t="s">
        <v>17</v>
      </c>
      <c r="F6" s="15" t="s">
        <v>18</v>
      </c>
      <c r="G6" s="15"/>
      <c r="H6" s="15"/>
      <c r="I6" s="15"/>
      <c r="J6" s="16"/>
    </row>
    <row r="9" spans="1:12" ht="20.25" customHeight="1" x14ac:dyDescent="0.25"/>
    <row r="10" spans="1:12" ht="18.75" customHeight="1" x14ac:dyDescent="0.25"/>
    <row r="11" spans="1:12" ht="18.75" customHeight="1" x14ac:dyDescent="0.25">
      <c r="C11" s="183" t="s">
        <v>19</v>
      </c>
      <c r="D11" s="183"/>
      <c r="E11" s="183"/>
      <c r="F11" s="183"/>
      <c r="G11" s="183"/>
      <c r="H11" s="183"/>
    </row>
    <row r="12" spans="1:12" ht="15.75" customHeight="1" x14ac:dyDescent="0.25">
      <c r="C12" s="184" t="s">
        <v>20</v>
      </c>
      <c r="D12" s="184"/>
      <c r="E12" s="184"/>
      <c r="F12" s="184"/>
      <c r="G12" s="184"/>
      <c r="H12" s="184"/>
    </row>
    <row r="14" spans="1:12" ht="15.6" x14ac:dyDescent="0.25">
      <c r="A14" s="185" t="s">
        <v>21</v>
      </c>
      <c r="B14" s="185"/>
      <c r="C14" s="185"/>
      <c r="D14" s="185"/>
      <c r="E14" s="185"/>
      <c r="F14" s="185"/>
      <c r="G14" s="185"/>
      <c r="H14" s="185"/>
      <c r="I14" s="185"/>
      <c r="J14" s="185"/>
    </row>
    <row r="15" spans="1:12" ht="12.75" customHeight="1" x14ac:dyDescent="0.25">
      <c r="A15" s="186"/>
      <c r="B15" s="186"/>
      <c r="C15" s="186"/>
      <c r="D15" s="186"/>
      <c r="E15" s="186"/>
      <c r="F15" s="186"/>
      <c r="G15" s="186"/>
      <c r="H15" s="186"/>
      <c r="I15" s="17"/>
      <c r="J15" s="18"/>
    </row>
    <row r="16" spans="1:12" x14ac:dyDescent="0.25">
      <c r="A16" s="186"/>
      <c r="B16" s="186"/>
      <c r="C16" s="186"/>
      <c r="D16" s="186"/>
      <c r="E16" s="186"/>
      <c r="F16" s="186"/>
      <c r="G16" s="186"/>
      <c r="H16" s="186"/>
      <c r="I16" s="17"/>
      <c r="J16" s="18"/>
    </row>
    <row r="17" spans="1:12" ht="24.9" customHeight="1" x14ac:dyDescent="0.25">
      <c r="A17" s="179" t="s">
        <v>0</v>
      </c>
      <c r="B17" s="180" t="s">
        <v>22</v>
      </c>
      <c r="C17" s="179" t="s">
        <v>23</v>
      </c>
      <c r="D17" s="181" t="s">
        <v>24</v>
      </c>
      <c r="E17" s="181" t="s">
        <v>25</v>
      </c>
      <c r="F17" s="175" t="s">
        <v>11</v>
      </c>
      <c r="G17" s="176" t="s">
        <v>26</v>
      </c>
      <c r="H17" s="177" t="s">
        <v>27</v>
      </c>
      <c r="I17" s="177" t="s">
        <v>28</v>
      </c>
      <c r="J17" s="178" t="s">
        <v>29</v>
      </c>
    </row>
    <row r="18" spans="1:12" ht="13.5" customHeight="1" x14ac:dyDescent="0.25">
      <c r="A18" s="179"/>
      <c r="B18" s="180"/>
      <c r="C18" s="179"/>
      <c r="D18" s="181"/>
      <c r="E18" s="181"/>
      <c r="F18" s="175"/>
      <c r="G18" s="176"/>
      <c r="H18" s="177"/>
      <c r="I18" s="177"/>
      <c r="J18" s="178"/>
    </row>
    <row r="19" spans="1:12" ht="12.75" customHeight="1" x14ac:dyDescent="0.25">
      <c r="A19" s="179"/>
      <c r="B19" s="180"/>
      <c r="C19" s="179"/>
      <c r="D19" s="181"/>
      <c r="E19" s="181"/>
      <c r="F19" s="175"/>
      <c r="G19" s="176"/>
      <c r="H19" s="177"/>
      <c r="I19" s="177"/>
      <c r="J19" s="178"/>
    </row>
    <row r="20" spans="1:12" x14ac:dyDescent="0.25">
      <c r="A20" s="19">
        <v>1</v>
      </c>
      <c r="B20" s="19">
        <v>2</v>
      </c>
      <c r="C20" s="19">
        <v>3</v>
      </c>
      <c r="D20" s="20">
        <v>4</v>
      </c>
      <c r="E20" s="20">
        <v>5</v>
      </c>
      <c r="F20" s="19">
        <v>6</v>
      </c>
      <c r="G20" s="21">
        <v>7</v>
      </c>
      <c r="H20" s="19">
        <v>8</v>
      </c>
      <c r="I20" s="19">
        <v>9</v>
      </c>
      <c r="J20" s="19">
        <v>10</v>
      </c>
    </row>
    <row r="21" spans="1:12" ht="15.75" customHeight="1" x14ac:dyDescent="0.25">
      <c r="A21" s="173" t="s">
        <v>30</v>
      </c>
      <c r="B21" s="173"/>
      <c r="C21" s="173"/>
      <c r="D21" s="173"/>
      <c r="E21" s="173"/>
      <c r="F21" s="173"/>
      <c r="G21" s="173"/>
      <c r="H21" s="173"/>
      <c r="I21" s="173"/>
      <c r="J21" s="173"/>
    </row>
    <row r="22" spans="1:12" ht="15.75" customHeight="1" x14ac:dyDescent="0.25">
      <c r="A22" s="174" t="s">
        <v>31</v>
      </c>
      <c r="B22" s="174"/>
      <c r="C22" s="174"/>
      <c r="D22" s="174"/>
      <c r="E22" s="174"/>
      <c r="F22" s="174"/>
      <c r="G22" s="174"/>
      <c r="H22" s="174"/>
      <c r="I22" s="174"/>
      <c r="J22" s="174"/>
    </row>
    <row r="23" spans="1:12" ht="15.75" customHeight="1" x14ac:dyDescent="0.25">
      <c r="A23" s="171" t="s">
        <v>32</v>
      </c>
      <c r="B23" s="171"/>
      <c r="C23" s="171"/>
      <c r="D23" s="171"/>
      <c r="E23" s="171"/>
      <c r="F23" s="171"/>
      <c r="G23" s="171"/>
      <c r="H23" s="171"/>
      <c r="I23" s="171"/>
      <c r="J23" s="171"/>
    </row>
    <row r="24" spans="1:12" ht="45" customHeight="1" x14ac:dyDescent="0.25">
      <c r="A24" s="22" t="s">
        <v>8</v>
      </c>
      <c r="B24" s="23" t="s">
        <v>33</v>
      </c>
      <c r="C24" s="24" t="s">
        <v>34</v>
      </c>
      <c r="D24" s="25"/>
      <c r="E24" s="25" t="s">
        <v>35</v>
      </c>
      <c r="F24" s="26">
        <v>81.400000000000006</v>
      </c>
      <c r="G24" s="27">
        <v>180</v>
      </c>
      <c r="H24" s="26">
        <f>F24*G24</f>
        <v>14652</v>
      </c>
      <c r="I24" s="26"/>
      <c r="J24" s="28">
        <f>H24+I25+I26</f>
        <v>21437.5</v>
      </c>
      <c r="K24" s="3">
        <f>54+10.5+12.9+4</f>
        <v>81.400000000000006</v>
      </c>
      <c r="L24" s="3">
        <f>54+10.5+4+12.9</f>
        <v>81.400000000000006</v>
      </c>
    </row>
    <row r="25" spans="1:12" ht="15.6" x14ac:dyDescent="0.25">
      <c r="A25" s="5"/>
      <c r="B25" s="29" t="s">
        <v>36</v>
      </c>
      <c r="C25" s="30" t="s">
        <v>37</v>
      </c>
      <c r="D25" s="6">
        <v>0.2</v>
      </c>
      <c r="E25" s="6"/>
      <c r="F25" s="19"/>
      <c r="G25" s="7">
        <v>37</v>
      </c>
      <c r="H25" s="31"/>
      <c r="I25" s="32">
        <f>G25*D25*F24</f>
        <v>602.36</v>
      </c>
      <c r="J25" s="33"/>
    </row>
    <row r="26" spans="1:12" ht="15.6" x14ac:dyDescent="0.25">
      <c r="A26" s="5"/>
      <c r="B26" s="29" t="s">
        <v>36</v>
      </c>
      <c r="C26" s="30" t="s">
        <v>38</v>
      </c>
      <c r="D26" s="6">
        <v>12</v>
      </c>
      <c r="E26" s="6"/>
      <c r="F26" s="19"/>
      <c r="G26" s="7">
        <f>190/30</f>
        <v>6.33</v>
      </c>
      <c r="I26" s="31">
        <f>G26*D26*F24</f>
        <v>6183.1440000000002</v>
      </c>
      <c r="J26" s="33"/>
    </row>
    <row r="27" spans="1:12" ht="21" customHeight="1" x14ac:dyDescent="0.25">
      <c r="A27" s="22">
        <v>2</v>
      </c>
      <c r="B27" s="23" t="s">
        <v>33</v>
      </c>
      <c r="C27" s="34" t="s">
        <v>39</v>
      </c>
      <c r="D27" s="25"/>
      <c r="E27" s="25" t="s">
        <v>35</v>
      </c>
      <c r="F27" s="26">
        <v>81.400000000000006</v>
      </c>
      <c r="G27" s="27">
        <v>115</v>
      </c>
      <c r="H27" s="26">
        <f>F27*G27</f>
        <v>9361</v>
      </c>
      <c r="I27" s="26"/>
      <c r="J27" s="28">
        <f>H27+I28+I29</f>
        <v>10093.76</v>
      </c>
    </row>
    <row r="28" spans="1:12" ht="15.6" x14ac:dyDescent="0.25">
      <c r="A28" s="5"/>
      <c r="B28" s="29" t="s">
        <v>36</v>
      </c>
      <c r="C28" s="30" t="s">
        <v>40</v>
      </c>
      <c r="D28" s="6">
        <v>0.2</v>
      </c>
      <c r="E28" s="6"/>
      <c r="F28" s="19"/>
      <c r="G28" s="35">
        <v>16</v>
      </c>
      <c r="H28" s="33"/>
      <c r="I28" s="31">
        <f>G28*D28*F27</f>
        <v>260.48</v>
      </c>
      <c r="J28" s="33"/>
    </row>
    <row r="29" spans="1:12" ht="15.6" x14ac:dyDescent="0.25">
      <c r="A29" s="5"/>
      <c r="B29" s="29" t="s">
        <v>36</v>
      </c>
      <c r="C29" s="30" t="s">
        <v>41</v>
      </c>
      <c r="D29" s="6">
        <v>0.6</v>
      </c>
      <c r="E29" s="6"/>
      <c r="F29" s="19"/>
      <c r="G29" s="7">
        <f>290/30</f>
        <v>9.67</v>
      </c>
      <c r="H29" s="33"/>
      <c r="I29" s="31">
        <f>G29*D29*F27</f>
        <v>472.28280000000001</v>
      </c>
      <c r="J29" s="33"/>
    </row>
    <row r="30" spans="1:12" x14ac:dyDescent="0.25">
      <c r="A30" s="22">
        <v>3</v>
      </c>
      <c r="B30" s="23" t="s">
        <v>33</v>
      </c>
      <c r="C30" s="34" t="s">
        <v>42</v>
      </c>
      <c r="D30" s="25"/>
      <c r="E30" s="25" t="s">
        <v>35</v>
      </c>
      <c r="F30" s="36">
        <v>81.400000000000006</v>
      </c>
      <c r="G30" s="27">
        <v>115</v>
      </c>
      <c r="H30" s="26">
        <f>F30*G30</f>
        <v>9361</v>
      </c>
      <c r="I30" s="37"/>
      <c r="J30" s="28">
        <f>H30+I31+I32+I33</f>
        <v>23800.14</v>
      </c>
    </row>
    <row r="31" spans="1:12" ht="15.6" x14ac:dyDescent="0.25">
      <c r="A31" s="5"/>
      <c r="B31" s="29" t="s">
        <v>36</v>
      </c>
      <c r="C31" s="30" t="s">
        <v>43</v>
      </c>
      <c r="D31" s="38">
        <v>0.2</v>
      </c>
      <c r="E31" s="38"/>
      <c r="F31" s="39"/>
      <c r="G31" s="35">
        <v>16</v>
      </c>
      <c r="H31" s="31"/>
      <c r="I31" s="31">
        <f>G31*D31*F30</f>
        <v>260.48</v>
      </c>
      <c r="J31" s="40"/>
    </row>
    <row r="32" spans="1:12" ht="15.6" x14ac:dyDescent="0.25">
      <c r="A32" s="5"/>
      <c r="B32" s="29" t="s">
        <v>36</v>
      </c>
      <c r="C32" s="30" t="s">
        <v>44</v>
      </c>
      <c r="D32" s="38">
        <v>1.5</v>
      </c>
      <c r="E32" s="38"/>
      <c r="F32" s="39"/>
      <c r="G32" s="41">
        <f>980/25</f>
        <v>39.200000000000003</v>
      </c>
      <c r="H32" s="31"/>
      <c r="I32" s="31">
        <f>G32*D32*F30</f>
        <v>4786.32</v>
      </c>
      <c r="J32" s="40"/>
    </row>
    <row r="33" spans="1:14" ht="24" x14ac:dyDescent="0.25">
      <c r="A33" s="5"/>
      <c r="B33" s="29" t="s">
        <v>36</v>
      </c>
      <c r="C33" s="30" t="s">
        <v>45</v>
      </c>
      <c r="D33" s="38">
        <v>0.5</v>
      </c>
      <c r="E33" s="38"/>
      <c r="F33" s="39"/>
      <c r="G33" s="7">
        <f>3000/13</f>
        <v>230.77</v>
      </c>
      <c r="H33" s="31"/>
      <c r="I33" s="32">
        <f>G33*D33*F30</f>
        <v>9392.34</v>
      </c>
      <c r="J33" s="40"/>
    </row>
    <row r="34" spans="1:14" ht="15.75" customHeight="1" x14ac:dyDescent="0.25">
      <c r="A34" s="171" t="s">
        <v>46</v>
      </c>
      <c r="B34" s="171"/>
      <c r="C34" s="171"/>
      <c r="D34" s="171"/>
      <c r="E34" s="171"/>
      <c r="F34" s="171"/>
      <c r="G34" s="171"/>
      <c r="H34" s="171"/>
      <c r="I34" s="171"/>
      <c r="J34" s="171"/>
    </row>
    <row r="35" spans="1:14" ht="53.25" customHeight="1" x14ac:dyDescent="0.25">
      <c r="A35" s="22" t="s">
        <v>10</v>
      </c>
      <c r="B35" s="23" t="s">
        <v>33</v>
      </c>
      <c r="C35" s="24" t="s">
        <v>47</v>
      </c>
      <c r="D35" s="25"/>
      <c r="E35" s="25" t="s">
        <v>35</v>
      </c>
      <c r="F35" s="26">
        <f>(11.4+31.4+10.1)*2.55</f>
        <v>134.89500000000001</v>
      </c>
      <c r="G35" s="27">
        <v>180</v>
      </c>
      <c r="H35" s="26">
        <f>F35*G35</f>
        <v>24281.1</v>
      </c>
      <c r="I35" s="26"/>
      <c r="J35" s="28">
        <f>H35+I36+I37</f>
        <v>38087.599999999999</v>
      </c>
      <c r="K35" s="3">
        <f>2.55*(9.8+32.3+11.1)</f>
        <v>135.66</v>
      </c>
    </row>
    <row r="36" spans="1:14" ht="15.6" x14ac:dyDescent="0.25">
      <c r="A36" s="5"/>
      <c r="B36" s="29" t="s">
        <v>36</v>
      </c>
      <c r="C36" s="30" t="s">
        <v>48</v>
      </c>
      <c r="D36" s="6">
        <v>0.2</v>
      </c>
      <c r="E36" s="6"/>
      <c r="F36" s="19"/>
      <c r="G36" s="7">
        <v>37</v>
      </c>
      <c r="H36" s="31"/>
      <c r="I36" s="32">
        <f>G36*D36*F35</f>
        <v>998.22</v>
      </c>
      <c r="J36" s="33"/>
    </row>
    <row r="37" spans="1:14" ht="15.6" x14ac:dyDescent="0.25">
      <c r="A37" s="5"/>
      <c r="B37" s="29" t="s">
        <v>36</v>
      </c>
      <c r="C37" s="30" t="s">
        <v>38</v>
      </c>
      <c r="D37" s="6">
        <v>15</v>
      </c>
      <c r="E37" s="6"/>
      <c r="F37" s="19"/>
      <c r="G37" s="7">
        <f>190/30</f>
        <v>6.33</v>
      </c>
      <c r="I37" s="31">
        <f>G37*D37*F35</f>
        <v>12808.28025</v>
      </c>
      <c r="J37" s="33"/>
    </row>
    <row r="38" spans="1:14" ht="36" x14ac:dyDescent="0.25">
      <c r="A38" s="22" t="s">
        <v>49</v>
      </c>
      <c r="B38" s="23" t="s">
        <v>33</v>
      </c>
      <c r="C38" s="42" t="s">
        <v>50</v>
      </c>
      <c r="D38" s="25"/>
      <c r="E38" s="25" t="s">
        <v>35</v>
      </c>
      <c r="F38" s="26">
        <f>2.55*23.8</f>
        <v>60.69</v>
      </c>
      <c r="G38" s="27">
        <v>195</v>
      </c>
      <c r="H38" s="26">
        <f>F38*G38</f>
        <v>11834.55</v>
      </c>
      <c r="I38" s="26"/>
      <c r="J38" s="28">
        <f>H38+I39+I40</f>
        <v>20294.740000000002</v>
      </c>
      <c r="K38" s="3">
        <f>(41.3+5+3.1+1+6.2)*2.55</f>
        <v>144.33000000000001</v>
      </c>
    </row>
    <row r="39" spans="1:14" ht="15.6" x14ac:dyDescent="0.25">
      <c r="A39" s="5"/>
      <c r="B39" s="29" t="s">
        <v>36</v>
      </c>
      <c r="C39" s="30" t="s">
        <v>48</v>
      </c>
      <c r="D39" s="6">
        <v>0.2</v>
      </c>
      <c r="E39" s="6"/>
      <c r="F39" s="19"/>
      <c r="G39" s="7">
        <v>37</v>
      </c>
      <c r="H39" s="31"/>
      <c r="I39" s="31">
        <f>G39*D39*F38</f>
        <v>449.10599999999999</v>
      </c>
      <c r="J39" s="33"/>
    </row>
    <row r="40" spans="1:14" ht="15.6" x14ac:dyDescent="0.25">
      <c r="A40" s="5"/>
      <c r="B40" s="29" t="s">
        <v>36</v>
      </c>
      <c r="C40" s="43" t="s">
        <v>51</v>
      </c>
      <c r="D40" s="6">
        <v>20</v>
      </c>
      <c r="E40" s="6"/>
      <c r="F40" s="19"/>
      <c r="G40" s="35">
        <f>165/25</f>
        <v>6.6</v>
      </c>
      <c r="H40" s="33"/>
      <c r="I40" s="31">
        <f>G40*D40*F38</f>
        <v>8011.08</v>
      </c>
      <c r="J40" s="33"/>
    </row>
    <row r="41" spans="1:14" ht="21" customHeight="1" x14ac:dyDescent="0.25">
      <c r="A41" s="22">
        <v>6</v>
      </c>
      <c r="B41" s="23" t="s">
        <v>33</v>
      </c>
      <c r="C41" s="24" t="s">
        <v>52</v>
      </c>
      <c r="D41" s="25"/>
      <c r="E41" s="25" t="s">
        <v>35</v>
      </c>
      <c r="F41" s="26">
        <f>F38+F35</f>
        <v>195.58500000000001</v>
      </c>
      <c r="G41" s="27">
        <v>115</v>
      </c>
      <c r="H41" s="26">
        <f>F41*G41</f>
        <v>22492.275000000001</v>
      </c>
      <c r="I41" s="37"/>
      <c r="J41" s="28">
        <f>H41+I42+I43</f>
        <v>24252.93</v>
      </c>
      <c r="K41" s="3">
        <v>280</v>
      </c>
      <c r="N41" s="3">
        <f>25-12.5-8</f>
        <v>4.5</v>
      </c>
    </row>
    <row r="42" spans="1:14" ht="15.6" x14ac:dyDescent="0.25">
      <c r="A42" s="5"/>
      <c r="B42" s="29" t="s">
        <v>36</v>
      </c>
      <c r="C42" s="30" t="s">
        <v>40</v>
      </c>
      <c r="D42" s="6">
        <v>0.2</v>
      </c>
      <c r="E42" s="6"/>
      <c r="F42" s="19"/>
      <c r="G42" s="35">
        <v>16</v>
      </c>
      <c r="H42" s="33"/>
      <c r="I42" s="31">
        <f>G42*D42*F41</f>
        <v>625.87199999999996</v>
      </c>
      <c r="J42" s="33"/>
    </row>
    <row r="43" spans="1:14" ht="15.6" x14ac:dyDescent="0.25">
      <c r="A43" s="5"/>
      <c r="B43" s="29" t="s">
        <v>36</v>
      </c>
      <c r="C43" s="30" t="s">
        <v>41</v>
      </c>
      <c r="D43" s="6">
        <v>0.6</v>
      </c>
      <c r="E43" s="6"/>
      <c r="F43" s="19"/>
      <c r="G43" s="7">
        <f>290/30</f>
        <v>9.67</v>
      </c>
      <c r="H43" s="33"/>
      <c r="I43" s="31">
        <f>G43*D43*F41</f>
        <v>1134.7841699999999</v>
      </c>
      <c r="J43" s="33"/>
    </row>
    <row r="44" spans="1:14" x14ac:dyDescent="0.25">
      <c r="A44" s="22">
        <v>7</v>
      </c>
      <c r="B44" s="23" t="s">
        <v>33</v>
      </c>
      <c r="C44" s="34" t="s">
        <v>42</v>
      </c>
      <c r="D44" s="25"/>
      <c r="E44" s="25" t="s">
        <v>35</v>
      </c>
      <c r="F44" s="36">
        <f>F41</f>
        <v>195.58500000000001</v>
      </c>
      <c r="G44" s="27">
        <v>115</v>
      </c>
      <c r="H44" s="26">
        <f>F44*G44</f>
        <v>22492.275000000001</v>
      </c>
      <c r="I44" s="37"/>
      <c r="J44" s="28">
        <f>H44+I45+I46+I47</f>
        <v>57186.13</v>
      </c>
      <c r="K44" s="3">
        <v>280</v>
      </c>
    </row>
    <row r="45" spans="1:14" ht="15.6" x14ac:dyDescent="0.25">
      <c r="A45" s="5"/>
      <c r="B45" s="29" t="s">
        <v>36</v>
      </c>
      <c r="C45" s="30" t="s">
        <v>43</v>
      </c>
      <c r="D45" s="38">
        <v>0.2</v>
      </c>
      <c r="E45" s="38"/>
      <c r="F45" s="39"/>
      <c r="G45" s="35">
        <v>16</v>
      </c>
      <c r="H45" s="31"/>
      <c r="I45" s="32">
        <f>G45*D45*F44</f>
        <v>625.87</v>
      </c>
      <c r="J45" s="40"/>
    </row>
    <row r="46" spans="1:14" ht="15.6" x14ac:dyDescent="0.25">
      <c r="A46" s="5"/>
      <c r="B46" s="29" t="s">
        <v>36</v>
      </c>
      <c r="C46" s="30" t="s">
        <v>44</v>
      </c>
      <c r="D46" s="38">
        <v>1.5</v>
      </c>
      <c r="E46" s="38"/>
      <c r="F46" s="39"/>
      <c r="G46" s="41">
        <f>980/25</f>
        <v>39.200000000000003</v>
      </c>
      <c r="H46" s="31"/>
      <c r="I46" s="32">
        <f>G46*D46*F44</f>
        <v>11500.4</v>
      </c>
      <c r="J46" s="40"/>
    </row>
    <row r="47" spans="1:14" ht="24" x14ac:dyDescent="0.25">
      <c r="A47" s="5"/>
      <c r="B47" s="29" t="s">
        <v>36</v>
      </c>
      <c r="C47" s="30" t="s">
        <v>45</v>
      </c>
      <c r="D47" s="38">
        <v>0.5</v>
      </c>
      <c r="E47" s="38"/>
      <c r="F47" s="39"/>
      <c r="G47" s="7">
        <f>3000/13</f>
        <v>230.77</v>
      </c>
      <c r="H47" s="31"/>
      <c r="I47" s="32">
        <f>G47*D47*F44</f>
        <v>22567.58</v>
      </c>
      <c r="J47" s="40"/>
    </row>
    <row r="48" spans="1:14" ht="15.75" customHeight="1" x14ac:dyDescent="0.25">
      <c r="A48" s="173" t="s">
        <v>53</v>
      </c>
      <c r="B48" s="173"/>
      <c r="C48" s="173"/>
      <c r="D48" s="173"/>
      <c r="E48" s="173"/>
      <c r="F48" s="173"/>
      <c r="G48" s="173"/>
      <c r="H48" s="173"/>
      <c r="I48" s="173"/>
      <c r="J48" s="173"/>
    </row>
    <row r="49" spans="1:12" ht="15.75" customHeight="1" x14ac:dyDescent="0.25">
      <c r="A49" s="171" t="s">
        <v>54</v>
      </c>
      <c r="B49" s="171"/>
      <c r="C49" s="171"/>
      <c r="D49" s="171"/>
      <c r="E49" s="171"/>
      <c r="F49" s="171"/>
      <c r="G49" s="171"/>
      <c r="H49" s="171"/>
      <c r="I49" s="171"/>
      <c r="J49" s="171"/>
    </row>
    <row r="50" spans="1:12" ht="15.75" customHeight="1" x14ac:dyDescent="0.25">
      <c r="A50" s="171" t="s">
        <v>32</v>
      </c>
      <c r="B50" s="171"/>
      <c r="C50" s="171"/>
      <c r="D50" s="171"/>
      <c r="E50" s="171"/>
      <c r="F50" s="171"/>
      <c r="G50" s="171"/>
      <c r="H50" s="171"/>
      <c r="I50" s="171"/>
      <c r="J50" s="171"/>
    </row>
    <row r="51" spans="1:12" ht="54.75" customHeight="1" x14ac:dyDescent="0.25">
      <c r="A51" s="22">
        <v>8</v>
      </c>
      <c r="B51" s="23" t="s">
        <v>33</v>
      </c>
      <c r="C51" s="24" t="s">
        <v>55</v>
      </c>
      <c r="D51" s="25"/>
      <c r="E51" s="25" t="s">
        <v>35</v>
      </c>
      <c r="F51" s="26">
        <v>645.20000000000005</v>
      </c>
      <c r="G51" s="27">
        <v>180</v>
      </c>
      <c r="H51" s="26">
        <f>F51*G51</f>
        <v>116136</v>
      </c>
      <c r="I51" s="37"/>
      <c r="J51" s="28">
        <f>H51+I52+I53</f>
        <v>169919.87</v>
      </c>
      <c r="K51" s="3">
        <f>31+20.8+31+7*(31+20.8+31)</f>
        <v>662.4</v>
      </c>
      <c r="L51" s="3">
        <f>31+20.8+31+7*(31+20.8+31)</f>
        <v>662.4</v>
      </c>
    </row>
    <row r="52" spans="1:12" ht="15.6" x14ac:dyDescent="0.25">
      <c r="A52" s="5"/>
      <c r="B52" s="29" t="s">
        <v>36</v>
      </c>
      <c r="C52" s="30" t="s">
        <v>48</v>
      </c>
      <c r="D52" s="6">
        <v>0.2</v>
      </c>
      <c r="E52" s="6"/>
      <c r="F52" s="19"/>
      <c r="G52" s="7">
        <v>37</v>
      </c>
      <c r="H52" s="31"/>
      <c r="I52" s="32">
        <f>G52*D52*F51</f>
        <v>4774.4799999999996</v>
      </c>
      <c r="J52" s="33"/>
    </row>
    <row r="53" spans="1:12" ht="15.6" x14ac:dyDescent="0.25">
      <c r="A53" s="5"/>
      <c r="B53" s="29" t="s">
        <v>36</v>
      </c>
      <c r="C53" s="30" t="s">
        <v>38</v>
      </c>
      <c r="D53" s="6">
        <v>12</v>
      </c>
      <c r="E53" s="6"/>
      <c r="F53" s="19"/>
      <c r="G53" s="7">
        <f>190/30</f>
        <v>6.33</v>
      </c>
      <c r="I53" s="32">
        <f>G53*D53*F51</f>
        <v>49009.39</v>
      </c>
      <c r="J53" s="33"/>
    </row>
    <row r="54" spans="1:12" ht="21" customHeight="1" x14ac:dyDescent="0.25">
      <c r="A54" s="22">
        <v>9</v>
      </c>
      <c r="B54" s="23" t="s">
        <v>33</v>
      </c>
      <c r="C54" s="34" t="s">
        <v>39</v>
      </c>
      <c r="D54" s="25"/>
      <c r="E54" s="25" t="s">
        <v>35</v>
      </c>
      <c r="F54" s="26">
        <v>645.20000000000005</v>
      </c>
      <c r="G54" s="27">
        <v>115</v>
      </c>
      <c r="H54" s="26">
        <f>F54*G54</f>
        <v>74198</v>
      </c>
      <c r="I54" s="26"/>
      <c r="J54" s="28">
        <f>H54+I55+I56</f>
        <v>80006.09</v>
      </c>
    </row>
    <row r="55" spans="1:12" ht="15.6" x14ac:dyDescent="0.25">
      <c r="A55" s="5"/>
      <c r="B55" s="29" t="s">
        <v>36</v>
      </c>
      <c r="C55" s="30" t="s">
        <v>40</v>
      </c>
      <c r="D55" s="6">
        <v>0.2</v>
      </c>
      <c r="E55" s="6"/>
      <c r="F55" s="19"/>
      <c r="G55" s="35">
        <v>16</v>
      </c>
      <c r="H55" s="33"/>
      <c r="I55" s="31">
        <f>G55*D55*F54</f>
        <v>2064.64</v>
      </c>
      <c r="J55" s="33"/>
    </row>
    <row r="56" spans="1:12" ht="15.6" x14ac:dyDescent="0.25">
      <c r="A56" s="5"/>
      <c r="B56" s="29" t="s">
        <v>36</v>
      </c>
      <c r="C56" s="30" t="s">
        <v>56</v>
      </c>
      <c r="D56" s="6">
        <v>0.6</v>
      </c>
      <c r="E56" s="6"/>
      <c r="F56" s="19"/>
      <c r="G56" s="7">
        <f>290/30</f>
        <v>9.67</v>
      </c>
      <c r="H56" s="33"/>
      <c r="I56" s="31">
        <f>G56*D56*F54</f>
        <v>3743.4504000000002</v>
      </c>
      <c r="J56" s="33"/>
    </row>
    <row r="57" spans="1:12" ht="27.75" customHeight="1" x14ac:dyDescent="0.25">
      <c r="A57" s="22">
        <v>10</v>
      </c>
      <c r="B57" s="23" t="s">
        <v>33</v>
      </c>
      <c r="C57" s="34" t="s">
        <v>42</v>
      </c>
      <c r="D57" s="25"/>
      <c r="E57" s="25" t="s">
        <v>35</v>
      </c>
      <c r="F57" s="26">
        <v>645.20000000000005</v>
      </c>
      <c r="G57" s="27">
        <v>115</v>
      </c>
      <c r="H57" s="26">
        <f>F57*G57</f>
        <v>74198</v>
      </c>
      <c r="I57" s="26"/>
      <c r="J57" s="28">
        <f>H57+I58+I59+I60</f>
        <v>188646.8</v>
      </c>
    </row>
    <row r="58" spans="1:12" ht="15.6" x14ac:dyDescent="0.25">
      <c r="A58" s="5"/>
      <c r="B58" s="29" t="s">
        <v>36</v>
      </c>
      <c r="C58" s="30" t="s">
        <v>43</v>
      </c>
      <c r="D58" s="38">
        <v>0.2</v>
      </c>
      <c r="E58" s="38"/>
      <c r="F58" s="39"/>
      <c r="G58" s="35">
        <v>16</v>
      </c>
      <c r="H58" s="31"/>
      <c r="I58" s="31">
        <f>G58*D58*F57</f>
        <v>2064.64</v>
      </c>
      <c r="J58" s="40"/>
    </row>
    <row r="59" spans="1:12" ht="15.6" x14ac:dyDescent="0.25">
      <c r="A59" s="5"/>
      <c r="B59" s="29" t="s">
        <v>36</v>
      </c>
      <c r="C59" s="30" t="s">
        <v>57</v>
      </c>
      <c r="D59" s="38">
        <v>1.5</v>
      </c>
      <c r="E59" s="38"/>
      <c r="F59" s="39"/>
      <c r="G59" s="41">
        <f>980/25</f>
        <v>39.200000000000003</v>
      </c>
      <c r="H59" s="31"/>
      <c r="I59" s="31">
        <f>G59*D59*F57</f>
        <v>37937.760000000002</v>
      </c>
      <c r="J59" s="40"/>
    </row>
    <row r="60" spans="1:12" ht="24" x14ac:dyDescent="0.25">
      <c r="A60" s="5"/>
      <c r="B60" s="29" t="s">
        <v>36</v>
      </c>
      <c r="C60" s="30" t="s">
        <v>45</v>
      </c>
      <c r="D60" s="38">
        <v>0.5</v>
      </c>
      <c r="E60" s="38"/>
      <c r="F60" s="39"/>
      <c r="G60" s="7">
        <f>3000/13</f>
        <v>230.77</v>
      </c>
      <c r="H60" s="31"/>
      <c r="I60" s="32">
        <f>G60*D60*F57</f>
        <v>74446.399999999994</v>
      </c>
      <c r="J60" s="40"/>
    </row>
    <row r="61" spans="1:12" ht="15" customHeight="1" x14ac:dyDescent="0.25">
      <c r="A61" s="171" t="s">
        <v>46</v>
      </c>
      <c r="B61" s="171"/>
      <c r="C61" s="171"/>
      <c r="D61" s="171"/>
      <c r="E61" s="171"/>
      <c r="F61" s="171"/>
      <c r="G61" s="171"/>
      <c r="H61" s="171"/>
      <c r="I61" s="171"/>
      <c r="J61" s="171"/>
    </row>
    <row r="62" spans="1:12" ht="48" x14ac:dyDescent="0.25">
      <c r="A62" s="22">
        <v>11</v>
      </c>
      <c r="B62" s="23" t="s">
        <v>33</v>
      </c>
      <c r="C62" s="34" t="s">
        <v>47</v>
      </c>
      <c r="D62" s="25"/>
      <c r="E62" s="25" t="s">
        <v>35</v>
      </c>
      <c r="F62" s="26">
        <f>(43+14.5+43)*2.81+(41.8+14.9+41.3)*2.81*7</f>
        <v>2210.0650000000001</v>
      </c>
      <c r="G62" s="27">
        <v>180</v>
      </c>
      <c r="H62" s="26">
        <f>F62*G62</f>
        <v>397811.7</v>
      </c>
      <c r="I62" s="37"/>
      <c r="J62" s="28">
        <f>H62+I63+I64</f>
        <v>624011.85</v>
      </c>
      <c r="K62" s="3">
        <f>(43+14.5+43)*2.81+(41.8+14.9+41.3)*2.81*7</f>
        <v>2210.0650000000001</v>
      </c>
    </row>
    <row r="63" spans="1:12" ht="15.6" x14ac:dyDescent="0.25">
      <c r="A63" s="5"/>
      <c r="B63" s="29" t="s">
        <v>36</v>
      </c>
      <c r="C63" s="30" t="s">
        <v>37</v>
      </c>
      <c r="D63" s="6">
        <v>0.2</v>
      </c>
      <c r="E63" s="6"/>
      <c r="F63" s="19"/>
      <c r="G63" s="7">
        <v>37</v>
      </c>
      <c r="H63" s="31"/>
      <c r="I63" s="31">
        <f>G63*D63*F62</f>
        <v>16354.481</v>
      </c>
      <c r="J63" s="33"/>
    </row>
    <row r="64" spans="1:12" ht="15.6" x14ac:dyDescent="0.25">
      <c r="A64" s="5"/>
      <c r="B64" s="29" t="s">
        <v>36</v>
      </c>
      <c r="C64" s="30" t="s">
        <v>38</v>
      </c>
      <c r="D64" s="6">
        <v>15</v>
      </c>
      <c r="E64" s="6"/>
      <c r="F64" s="19"/>
      <c r="G64" s="7">
        <f>190/30</f>
        <v>6.33</v>
      </c>
      <c r="I64" s="31">
        <f>G64*D64*F62</f>
        <v>209845.67175000001</v>
      </c>
      <c r="J64" s="33"/>
    </row>
    <row r="65" spans="1:15" ht="34.5" customHeight="1" x14ac:dyDescent="0.25">
      <c r="A65" s="22">
        <v>12</v>
      </c>
      <c r="B65" s="23" t="s">
        <v>33</v>
      </c>
      <c r="C65" s="34" t="s">
        <v>58</v>
      </c>
      <c r="D65" s="25"/>
      <c r="E65" s="25" t="s">
        <v>35</v>
      </c>
      <c r="F65" s="26">
        <f>9.9*2.81*7+19.2</f>
        <v>213.93299999999999</v>
      </c>
      <c r="G65" s="27">
        <v>180</v>
      </c>
      <c r="H65" s="26">
        <f>F65*G65</f>
        <v>38507.94</v>
      </c>
      <c r="I65" s="37"/>
      <c r="J65" s="28">
        <f>H65+I66+I67</f>
        <v>56341.39</v>
      </c>
    </row>
    <row r="66" spans="1:15" ht="15.6" x14ac:dyDescent="0.25">
      <c r="A66" s="5"/>
      <c r="B66" s="29" t="s">
        <v>36</v>
      </c>
      <c r="C66" s="30" t="s">
        <v>37</v>
      </c>
      <c r="D66" s="6">
        <v>0.2</v>
      </c>
      <c r="E66" s="6"/>
      <c r="F66" s="19"/>
      <c r="G66" s="7">
        <v>37</v>
      </c>
      <c r="H66" s="31"/>
      <c r="I66" s="31">
        <f>G66*D66*F65</f>
        <v>1583.1042</v>
      </c>
      <c r="J66" s="33"/>
    </row>
    <row r="67" spans="1:15" ht="15.6" x14ac:dyDescent="0.25">
      <c r="A67" s="5"/>
      <c r="B67" s="29" t="s">
        <v>36</v>
      </c>
      <c r="C67" s="30" t="s">
        <v>38</v>
      </c>
      <c r="D67" s="6">
        <v>12</v>
      </c>
      <c r="E67" s="6"/>
      <c r="F67" s="19"/>
      <c r="G67" s="7">
        <f>190/30</f>
        <v>6.33</v>
      </c>
      <c r="I67" s="31">
        <f>G67*D67*F65</f>
        <v>16250.35068</v>
      </c>
      <c r="J67" s="33"/>
    </row>
    <row r="68" spans="1:15" ht="21" customHeight="1" x14ac:dyDescent="0.25">
      <c r="A68" s="22">
        <v>13</v>
      </c>
      <c r="B68" s="23" t="s">
        <v>33</v>
      </c>
      <c r="C68" s="34" t="s">
        <v>39</v>
      </c>
      <c r="D68" s="25"/>
      <c r="E68" s="25" t="s">
        <v>35</v>
      </c>
      <c r="F68" s="26">
        <f>F65+F62</f>
        <v>2423.998</v>
      </c>
      <c r="G68" s="27">
        <v>115</v>
      </c>
      <c r="H68" s="26">
        <f>F68*G68</f>
        <v>278759.77</v>
      </c>
      <c r="I68" s="26"/>
      <c r="J68" s="28">
        <f>H68+I69+I70</f>
        <v>300580.59999999998</v>
      </c>
    </row>
    <row r="69" spans="1:15" ht="15.6" x14ac:dyDescent="0.25">
      <c r="A69" s="5"/>
      <c r="B69" s="29" t="s">
        <v>36</v>
      </c>
      <c r="C69" s="30" t="s">
        <v>40</v>
      </c>
      <c r="D69" s="6">
        <v>0.2</v>
      </c>
      <c r="E69" s="6"/>
      <c r="F69" s="19"/>
      <c r="G69" s="35">
        <v>16</v>
      </c>
      <c r="H69" s="33"/>
      <c r="I69" s="31">
        <f>G69*D69*F68</f>
        <v>7756.7936</v>
      </c>
      <c r="J69" s="33"/>
    </row>
    <row r="70" spans="1:15" ht="15.6" x14ac:dyDescent="0.25">
      <c r="A70" s="5"/>
      <c r="B70" s="29" t="s">
        <v>36</v>
      </c>
      <c r="C70" s="30" t="s">
        <v>56</v>
      </c>
      <c r="D70" s="6">
        <v>0.6</v>
      </c>
      <c r="E70" s="6"/>
      <c r="F70" s="19"/>
      <c r="G70" s="7">
        <f>290/30</f>
        <v>9.67</v>
      </c>
      <c r="H70" s="33"/>
      <c r="I70" s="31">
        <f>G70*D70*F68</f>
        <v>14064.036396</v>
      </c>
      <c r="J70" s="33"/>
    </row>
    <row r="71" spans="1:15" x14ac:dyDescent="0.25">
      <c r="A71" s="22">
        <v>14</v>
      </c>
      <c r="B71" s="23" t="s">
        <v>33</v>
      </c>
      <c r="C71" s="34" t="s">
        <v>42</v>
      </c>
      <c r="D71" s="25"/>
      <c r="E71" s="25" t="s">
        <v>35</v>
      </c>
      <c r="F71" s="26">
        <f>F68</f>
        <v>2423.998</v>
      </c>
      <c r="G71" s="27">
        <v>115</v>
      </c>
      <c r="H71" s="26">
        <f>F71*G71</f>
        <v>278759.77</v>
      </c>
      <c r="I71" s="26"/>
      <c r="J71" s="28">
        <f>H71+I72+I73+I74</f>
        <v>708740.66</v>
      </c>
    </row>
    <row r="72" spans="1:15" ht="15.6" x14ac:dyDescent="0.25">
      <c r="A72" s="5"/>
      <c r="B72" s="29" t="s">
        <v>36</v>
      </c>
      <c r="C72" s="30" t="s">
        <v>43</v>
      </c>
      <c r="D72" s="38">
        <v>0.2</v>
      </c>
      <c r="E72" s="38"/>
      <c r="F72" s="39"/>
      <c r="G72" s="35">
        <v>16</v>
      </c>
      <c r="H72" s="31"/>
      <c r="I72" s="31">
        <f>G72*D72*F71</f>
        <v>7756.7936</v>
      </c>
      <c r="J72" s="40"/>
    </row>
    <row r="73" spans="1:15" ht="15.6" x14ac:dyDescent="0.25">
      <c r="A73" s="5"/>
      <c r="B73" s="29" t="s">
        <v>36</v>
      </c>
      <c r="C73" s="30" t="s">
        <v>57</v>
      </c>
      <c r="D73" s="38">
        <v>1.5</v>
      </c>
      <c r="E73" s="38"/>
      <c r="F73" s="39"/>
      <c r="G73" s="41">
        <f>980/25</f>
        <v>39.200000000000003</v>
      </c>
      <c r="H73" s="31"/>
      <c r="I73" s="31">
        <f>G73*D73*F71</f>
        <v>142531.08240000001</v>
      </c>
      <c r="J73" s="40"/>
    </row>
    <row r="74" spans="1:15" ht="24" x14ac:dyDescent="0.25">
      <c r="A74" s="5"/>
      <c r="B74" s="29" t="s">
        <v>36</v>
      </c>
      <c r="C74" s="30" t="s">
        <v>45</v>
      </c>
      <c r="D74" s="38">
        <v>0.5</v>
      </c>
      <c r="E74" s="38"/>
      <c r="F74" s="39"/>
      <c r="G74" s="7">
        <f>3000/13</f>
        <v>230.77</v>
      </c>
      <c r="H74" s="31"/>
      <c r="I74" s="32">
        <f>G74*D74*F71</f>
        <v>279693.01</v>
      </c>
      <c r="J74" s="40"/>
    </row>
    <row r="75" spans="1:15" ht="15.75" customHeight="1" x14ac:dyDescent="0.25">
      <c r="A75" s="171" t="s">
        <v>59</v>
      </c>
      <c r="B75" s="171"/>
      <c r="C75" s="171"/>
      <c r="D75" s="171"/>
      <c r="E75" s="171"/>
      <c r="F75" s="171"/>
      <c r="G75" s="171"/>
      <c r="H75" s="171"/>
      <c r="I75" s="171"/>
      <c r="J75" s="171"/>
      <c r="K75" s="44">
        <f>4.7+14.9*7+18.27+12.8+15*6+29.6</f>
        <v>259.67</v>
      </c>
      <c r="L75" s="44" t="s">
        <v>60</v>
      </c>
      <c r="M75" s="44" t="s">
        <v>61</v>
      </c>
      <c r="N75" s="44"/>
      <c r="O75" s="44"/>
    </row>
    <row r="76" spans="1:15" ht="42.75" customHeight="1" x14ac:dyDescent="0.25">
      <c r="A76" s="22">
        <v>15</v>
      </c>
      <c r="B76" s="23" t="s">
        <v>33</v>
      </c>
      <c r="C76" s="34" t="s">
        <v>62</v>
      </c>
      <c r="D76" s="25"/>
      <c r="E76" s="25" t="s">
        <v>35</v>
      </c>
      <c r="F76" s="26">
        <f>10.5+8.1+3.4+(8.1+12.1)*7+32-4.1+(2.7+2.7+3.8)*7+5.5*2.46-0.32+(3.074*8+4.3+3.05*6+3.23)*1.35+0.3*4*7*4.64+8*0.3*4*4.64+(4.08*7+4.485+2*7)*1.15</f>
        <v>474.60145</v>
      </c>
      <c r="G76" s="27">
        <v>180</v>
      </c>
      <c r="H76" s="26">
        <f>F76*G76</f>
        <v>85428.260999999999</v>
      </c>
      <c r="I76" s="26"/>
      <c r="J76" s="28">
        <f>H76+I77+I78</f>
        <v>124991.03999999999</v>
      </c>
      <c r="K76" s="44">
        <f>10.5+8.1+3.4+(8.1+12.1)*7+32</f>
        <v>195.4</v>
      </c>
      <c r="L76" s="44" t="s">
        <v>63</v>
      </c>
      <c r="M76" s="44"/>
      <c r="N76" s="44"/>
      <c r="O76" s="44"/>
    </row>
    <row r="77" spans="1:15" ht="15.6" x14ac:dyDescent="0.25">
      <c r="A77" s="5"/>
      <c r="B77" s="29" t="s">
        <v>36</v>
      </c>
      <c r="C77" s="30" t="s">
        <v>37</v>
      </c>
      <c r="D77" s="6">
        <v>0.2</v>
      </c>
      <c r="E77" s="6"/>
      <c r="F77" s="19"/>
      <c r="G77" s="7">
        <v>37</v>
      </c>
      <c r="H77" s="31"/>
      <c r="I77" s="32">
        <f>G77*D77*F76</f>
        <v>3512.05</v>
      </c>
      <c r="J77" s="33"/>
      <c r="K77" s="44"/>
      <c r="L77" s="44"/>
      <c r="M77" s="44"/>
      <c r="N77" s="44"/>
      <c r="O77" s="44"/>
    </row>
    <row r="78" spans="1:15" ht="15.6" x14ac:dyDescent="0.25">
      <c r="A78" s="5"/>
      <c r="B78" s="29" t="s">
        <v>36</v>
      </c>
      <c r="C78" s="30" t="s">
        <v>64</v>
      </c>
      <c r="D78" s="6">
        <v>12</v>
      </c>
      <c r="E78" s="6"/>
      <c r="F78" s="19"/>
      <c r="G78" s="7">
        <f>190/30</f>
        <v>6.33</v>
      </c>
      <c r="I78" s="31">
        <f>G78*D78*F76</f>
        <v>36050.726142</v>
      </c>
      <c r="J78" s="33"/>
      <c r="K78" s="44"/>
      <c r="L78" s="44"/>
      <c r="M78" s="44"/>
      <c r="N78" s="44"/>
      <c r="O78" s="44"/>
    </row>
    <row r="79" spans="1:15" ht="21" customHeight="1" x14ac:dyDescent="0.25">
      <c r="A79" s="22">
        <v>16</v>
      </c>
      <c r="B79" s="23" t="s">
        <v>33</v>
      </c>
      <c r="C79" s="34" t="s">
        <v>39</v>
      </c>
      <c r="D79" s="25"/>
      <c r="E79" s="25" t="s">
        <v>35</v>
      </c>
      <c r="F79" s="36">
        <f>F76</f>
        <v>474.60145</v>
      </c>
      <c r="G79" s="27">
        <v>115</v>
      </c>
      <c r="H79" s="26">
        <f>F79*G79</f>
        <v>54579.166749999997</v>
      </c>
      <c r="I79" s="26"/>
      <c r="J79" s="28">
        <f>H79+I80+I81</f>
        <v>58851.53</v>
      </c>
      <c r="K79" s="44"/>
      <c r="L79" s="44"/>
      <c r="M79" s="44"/>
      <c r="N79" s="44"/>
      <c r="O79" s="44"/>
    </row>
    <row r="80" spans="1:15" ht="15.6" x14ac:dyDescent="0.25">
      <c r="A80" s="5"/>
      <c r="B80" s="29" t="s">
        <v>36</v>
      </c>
      <c r="C80" s="30" t="s">
        <v>40</v>
      </c>
      <c r="D80" s="6">
        <v>0.2</v>
      </c>
      <c r="E80" s="6"/>
      <c r="F80" s="19"/>
      <c r="G80" s="35">
        <v>16</v>
      </c>
      <c r="H80" s="33"/>
      <c r="I80" s="31">
        <f>G80*D80*F79</f>
        <v>1518.7246399999999</v>
      </c>
      <c r="J80" s="33"/>
      <c r="K80" s="44"/>
      <c r="L80" s="44"/>
      <c r="M80" s="44"/>
      <c r="N80" s="44"/>
      <c r="O80" s="44"/>
    </row>
    <row r="81" spans="1:15" ht="15.6" x14ac:dyDescent="0.25">
      <c r="A81" s="5"/>
      <c r="B81" s="29" t="s">
        <v>36</v>
      </c>
      <c r="C81" s="30" t="s">
        <v>56</v>
      </c>
      <c r="D81" s="6">
        <v>0.6</v>
      </c>
      <c r="E81" s="6"/>
      <c r="F81" s="19"/>
      <c r="G81" s="7">
        <f>290/30</f>
        <v>9.67</v>
      </c>
      <c r="H81" s="33"/>
      <c r="I81" s="31">
        <f>G81*D81*F79</f>
        <v>2753.6376129</v>
      </c>
      <c r="J81" s="33"/>
      <c r="K81" s="44"/>
      <c r="L81" s="44"/>
      <c r="M81" s="44"/>
      <c r="N81" s="44"/>
      <c r="O81" s="44"/>
    </row>
    <row r="82" spans="1:15" x14ac:dyDescent="0.25">
      <c r="A82" s="22">
        <v>17</v>
      </c>
      <c r="B82" s="23" t="s">
        <v>33</v>
      </c>
      <c r="C82" s="34" t="s">
        <v>42</v>
      </c>
      <c r="D82" s="25"/>
      <c r="E82" s="25" t="s">
        <v>35</v>
      </c>
      <c r="F82" s="26">
        <f>F76</f>
        <v>474.60145</v>
      </c>
      <c r="G82" s="27">
        <v>115</v>
      </c>
      <c r="H82" s="26">
        <f>F82*G82</f>
        <v>54579.166749999997</v>
      </c>
      <c r="I82" s="26"/>
      <c r="J82" s="28">
        <f>H82+I83+I84+I85</f>
        <v>138766.35</v>
      </c>
      <c r="K82" s="44"/>
      <c r="L82" s="44"/>
      <c r="M82" s="44"/>
      <c r="N82" s="44"/>
      <c r="O82" s="44"/>
    </row>
    <row r="83" spans="1:15" ht="15.6" x14ac:dyDescent="0.25">
      <c r="A83" s="5"/>
      <c r="B83" s="29" t="s">
        <v>36</v>
      </c>
      <c r="C83" s="30" t="s">
        <v>43</v>
      </c>
      <c r="D83" s="38">
        <v>0.2</v>
      </c>
      <c r="E83" s="38"/>
      <c r="F83" s="39"/>
      <c r="G83" s="35">
        <v>16</v>
      </c>
      <c r="H83" s="31"/>
      <c r="I83" s="31">
        <f>G83*D83*F82</f>
        <v>1518.7246399999999</v>
      </c>
      <c r="J83" s="40"/>
      <c r="K83" s="44"/>
      <c r="L83" s="44"/>
      <c r="M83" s="44"/>
      <c r="N83" s="44"/>
      <c r="O83" s="44"/>
    </row>
    <row r="84" spans="1:15" ht="15.6" x14ac:dyDescent="0.25">
      <c r="A84" s="5"/>
      <c r="B84" s="29" t="s">
        <v>36</v>
      </c>
      <c r="C84" s="30" t="s">
        <v>57</v>
      </c>
      <c r="D84" s="38">
        <v>1.5</v>
      </c>
      <c r="E84" s="38"/>
      <c r="F84" s="39"/>
      <c r="G84" s="41">
        <f>980/25</f>
        <v>39.200000000000003</v>
      </c>
      <c r="H84" s="31"/>
      <c r="I84" s="31">
        <f>G84*D84*F82</f>
        <v>27906.565259999999</v>
      </c>
      <c r="J84" s="40"/>
      <c r="K84" s="44"/>
      <c r="L84" s="44"/>
      <c r="M84" s="44"/>
      <c r="N84" s="44"/>
      <c r="O84" s="44"/>
    </row>
    <row r="85" spans="1:15" ht="24" x14ac:dyDescent="0.25">
      <c r="A85" s="5"/>
      <c r="B85" s="29" t="s">
        <v>36</v>
      </c>
      <c r="C85" s="30" t="s">
        <v>45</v>
      </c>
      <c r="D85" s="38">
        <v>0.5</v>
      </c>
      <c r="E85" s="38"/>
      <c r="F85" s="39"/>
      <c r="G85" s="7">
        <f>3000/13</f>
        <v>230.77</v>
      </c>
      <c r="H85" s="31"/>
      <c r="I85" s="32">
        <f>G85*D85*F82</f>
        <v>54761.89</v>
      </c>
      <c r="J85" s="40"/>
      <c r="K85" s="44"/>
      <c r="L85" s="44"/>
      <c r="M85" s="44"/>
      <c r="N85" s="44"/>
      <c r="O85" s="44"/>
    </row>
    <row r="86" spans="1:15" ht="26.25" customHeight="1" x14ac:dyDescent="0.25">
      <c r="A86" s="171" t="s">
        <v>65</v>
      </c>
      <c r="B86" s="171"/>
      <c r="C86" s="171"/>
      <c r="D86" s="171"/>
      <c r="E86" s="171"/>
      <c r="F86" s="171"/>
      <c r="G86" s="171"/>
      <c r="H86" s="171"/>
      <c r="I86" s="171"/>
      <c r="J86" s="171"/>
      <c r="K86" s="44"/>
      <c r="L86" s="44" t="s">
        <v>60</v>
      </c>
      <c r="M86" s="44" t="s">
        <v>61</v>
      </c>
      <c r="N86" s="44"/>
      <c r="O86" s="44"/>
    </row>
    <row r="87" spans="1:15" ht="45" customHeight="1" x14ac:dyDescent="0.25">
      <c r="A87" s="22">
        <v>18</v>
      </c>
      <c r="B87" s="23" t="s">
        <v>33</v>
      </c>
      <c r="C87" s="34" t="s">
        <v>47</v>
      </c>
      <c r="D87" s="25"/>
      <c r="E87" s="25" t="s">
        <v>35</v>
      </c>
      <c r="F87" s="26">
        <f>430+760-12.9+0.9*2*2.77*6+0.9*2*3.645</f>
        <v>1213.577</v>
      </c>
      <c r="G87" s="27">
        <v>180</v>
      </c>
      <c r="H87" s="26">
        <f>F87*G87</f>
        <v>218443.86</v>
      </c>
      <c r="I87" s="26"/>
      <c r="J87" s="28">
        <f>H87+I88+I89</f>
        <v>342653.47</v>
      </c>
      <c r="K87" s="44"/>
      <c r="L87" s="44">
        <f>4.64*1</f>
        <v>4.6399999999999997</v>
      </c>
      <c r="M87" s="44">
        <f>(2.7+2.7+3.8)*7+5.5*2.46-0.32</f>
        <v>77.61</v>
      </c>
      <c r="N87" s="44"/>
      <c r="O87" s="44"/>
    </row>
    <row r="88" spans="1:15" ht="15.6" x14ac:dyDescent="0.25">
      <c r="A88" s="5"/>
      <c r="B88" s="29" t="s">
        <v>36</v>
      </c>
      <c r="C88" s="30" t="s">
        <v>37</v>
      </c>
      <c r="D88" s="6">
        <v>0.2</v>
      </c>
      <c r="E88" s="6"/>
      <c r="F88" s="19"/>
      <c r="G88" s="7">
        <v>37</v>
      </c>
      <c r="H88" s="31"/>
      <c r="I88" s="32">
        <f>G88*D88*F87</f>
        <v>8980.4699999999993</v>
      </c>
      <c r="J88" s="33"/>
      <c r="K88" s="44">
        <f>18.7+17.5+17.8*6+12.7+17.4*6+29.4</f>
        <v>289.5</v>
      </c>
      <c r="L88" s="44"/>
      <c r="M88" s="44">
        <f>8+18*7+26.2</f>
        <v>160.19999999999999</v>
      </c>
      <c r="N88" s="44"/>
      <c r="O88" s="44"/>
    </row>
    <row r="89" spans="1:15" ht="15.6" x14ac:dyDescent="0.25">
      <c r="A89" s="5"/>
      <c r="B89" s="29" t="s">
        <v>36</v>
      </c>
      <c r="C89" s="30" t="s">
        <v>38</v>
      </c>
      <c r="D89" s="6">
        <v>15</v>
      </c>
      <c r="E89" s="6"/>
      <c r="F89" s="19"/>
      <c r="G89" s="7">
        <f>190/30</f>
        <v>6.33</v>
      </c>
      <c r="I89" s="32">
        <f>G89*D89*F87</f>
        <v>115229.14</v>
      </c>
      <c r="J89" s="33"/>
      <c r="K89" s="3">
        <f>2.46*(25.319+25.723-15*0.16)</f>
        <v>119.65931999999999</v>
      </c>
      <c r="M89" s="3">
        <f>13.3+19.4+18.7*6+18.1</f>
        <v>163</v>
      </c>
    </row>
    <row r="90" spans="1:15" ht="72" x14ac:dyDescent="0.3">
      <c r="A90" s="45">
        <v>18</v>
      </c>
      <c r="B90" s="46" t="s">
        <v>33</v>
      </c>
      <c r="C90" s="47" t="s">
        <v>66</v>
      </c>
      <c r="D90" s="48"/>
      <c r="E90" s="48" t="s">
        <v>35</v>
      </c>
      <c r="F90" s="49">
        <v>12.9</v>
      </c>
      <c r="G90" s="50">
        <v>180</v>
      </c>
      <c r="H90" s="49">
        <f>F90*G90</f>
        <v>2322</v>
      </c>
      <c r="I90" s="49"/>
      <c r="J90" s="51">
        <f>H90+I91+I95</f>
        <v>2322</v>
      </c>
    </row>
    <row r="91" spans="1:15" ht="28.8" x14ac:dyDescent="0.3">
      <c r="A91" s="45"/>
      <c r="B91" s="52" t="s">
        <v>67</v>
      </c>
      <c r="C91" s="47" t="s">
        <v>68</v>
      </c>
      <c r="D91" s="48">
        <v>1.03</v>
      </c>
      <c r="E91" s="48" t="s">
        <v>9</v>
      </c>
      <c r="F91" s="45">
        <f>F90*0.08*1.03</f>
        <v>1.0629599999999999</v>
      </c>
      <c r="G91" s="53"/>
      <c r="H91" s="54"/>
      <c r="I91" s="51"/>
      <c r="J91" s="45"/>
    </row>
    <row r="92" spans="1:15" ht="14.4" x14ac:dyDescent="0.3">
      <c r="A92" s="45"/>
      <c r="B92" s="52"/>
      <c r="C92" s="47" t="s">
        <v>69</v>
      </c>
      <c r="D92" s="48">
        <v>1.02</v>
      </c>
      <c r="E92" s="48" t="s">
        <v>35</v>
      </c>
      <c r="F92" s="45"/>
      <c r="G92" s="7">
        <v>37</v>
      </c>
      <c r="H92" s="54"/>
      <c r="I92" s="32">
        <f>G92*D92*F90</f>
        <v>486.85</v>
      </c>
      <c r="J92" s="45"/>
    </row>
    <row r="93" spans="1:15" ht="14.4" x14ac:dyDescent="0.3">
      <c r="A93" s="45"/>
      <c r="B93" s="52"/>
      <c r="C93" s="47" t="s">
        <v>51</v>
      </c>
      <c r="D93" s="48">
        <v>20</v>
      </c>
      <c r="E93" s="48" t="s">
        <v>70</v>
      </c>
      <c r="F93" s="45"/>
      <c r="G93" s="7">
        <v>37</v>
      </c>
      <c r="H93" s="54"/>
      <c r="I93" s="32">
        <f>G93*D93*F90</f>
        <v>9546</v>
      </c>
      <c r="J93" s="45"/>
    </row>
    <row r="94" spans="1:15" ht="14.4" x14ac:dyDescent="0.3">
      <c r="A94" s="45"/>
      <c r="B94" s="52"/>
      <c r="C94" s="47"/>
      <c r="D94" s="48"/>
      <c r="E94" s="48"/>
      <c r="F94" s="45"/>
      <c r="G94" s="53"/>
      <c r="H94" s="54"/>
      <c r="I94" s="51"/>
      <c r="J94" s="45"/>
    </row>
    <row r="95" spans="1:15" ht="24" x14ac:dyDescent="0.25">
      <c r="A95" s="22">
        <v>19</v>
      </c>
      <c r="B95" s="23" t="s">
        <v>33</v>
      </c>
      <c r="C95" s="34" t="s">
        <v>58</v>
      </c>
      <c r="D95" s="25"/>
      <c r="E95" s="25" t="s">
        <v>35</v>
      </c>
      <c r="F95" s="26">
        <f>4.64*2.51</f>
        <v>11.6464</v>
      </c>
      <c r="G95" s="27">
        <v>115</v>
      </c>
      <c r="H95" s="26">
        <f>F95*G95</f>
        <v>1339.336</v>
      </c>
      <c r="I95" s="26"/>
      <c r="J95" s="28">
        <f>H95+I96+I97</f>
        <v>2531.35</v>
      </c>
      <c r="K95" s="3">
        <f>K89+K88</f>
        <v>409.15931999999998</v>
      </c>
      <c r="M95" s="3">
        <f>M89+M88</f>
        <v>323.2</v>
      </c>
    </row>
    <row r="96" spans="1:15" ht="15.6" x14ac:dyDescent="0.25">
      <c r="A96" s="5"/>
      <c r="B96" s="29" t="s">
        <v>36</v>
      </c>
      <c r="C96" s="30" t="s">
        <v>71</v>
      </c>
      <c r="D96" s="6">
        <v>0.2</v>
      </c>
      <c r="E96" s="6"/>
      <c r="F96" s="19"/>
      <c r="G96" s="7">
        <v>37</v>
      </c>
      <c r="H96" s="31"/>
      <c r="I96" s="32">
        <f>G96*D96*F95</f>
        <v>86.18</v>
      </c>
      <c r="J96" s="33"/>
      <c r="K96" s="3">
        <f>1.05*2*(25.3+26.17)-2.4*8-2.6*7-6.4*8</f>
        <v>19.486999999999998</v>
      </c>
      <c r="M96" s="3">
        <f>9.8*7*2.81+9.8*3.3+4.52*4.9+4.52*2.81*7+1.95*2.81*7+1.95*3.7+1.95*2.81*7+1.95*2.15+4.64*2.71</f>
        <v>436.85730000000001</v>
      </c>
    </row>
    <row r="97" spans="1:15" ht="15.6" x14ac:dyDescent="0.25">
      <c r="A97" s="5"/>
      <c r="B97" s="29" t="s">
        <v>36</v>
      </c>
      <c r="C97" s="30" t="s">
        <v>38</v>
      </c>
      <c r="D97" s="6">
        <v>15</v>
      </c>
      <c r="E97" s="6"/>
      <c r="F97" s="19"/>
      <c r="G97" s="7">
        <f>190/30</f>
        <v>6.33</v>
      </c>
      <c r="I97" s="32">
        <f>G97*D97*F95</f>
        <v>1105.83</v>
      </c>
      <c r="J97" s="33"/>
      <c r="K97" s="3">
        <f>K96+K95</f>
        <v>428.64632</v>
      </c>
      <c r="M97" s="3">
        <f>M96+M95</f>
        <v>760.05730000000005</v>
      </c>
    </row>
    <row r="98" spans="1:15" ht="24" x14ac:dyDescent="0.25">
      <c r="A98" s="22">
        <v>20</v>
      </c>
      <c r="B98" s="23" t="s">
        <v>33</v>
      </c>
      <c r="C98" s="34" t="s">
        <v>72</v>
      </c>
      <c r="D98" s="25"/>
      <c r="E98" s="25" t="s">
        <v>35</v>
      </c>
      <c r="F98" s="26">
        <f>2.62*2.81</f>
        <v>7.3621999999999996</v>
      </c>
      <c r="G98" s="27">
        <v>180</v>
      </c>
      <c r="H98" s="26">
        <f>F98*G98</f>
        <v>1325.1959999999999</v>
      </c>
      <c r="I98" s="37"/>
      <c r="J98" s="28">
        <f>H98+I99+I100</f>
        <v>1938.91</v>
      </c>
    </row>
    <row r="99" spans="1:15" ht="15.6" x14ac:dyDescent="0.25">
      <c r="A99" s="5"/>
      <c r="B99" s="29" t="s">
        <v>36</v>
      </c>
      <c r="C99" s="30" t="s">
        <v>48</v>
      </c>
      <c r="D99" s="6">
        <v>0.2</v>
      </c>
      <c r="E99" s="6"/>
      <c r="F99" s="19"/>
      <c r="G99" s="7">
        <v>37</v>
      </c>
      <c r="H99" s="31"/>
      <c r="I99" s="32">
        <f>G99*D99*F98</f>
        <v>54.48</v>
      </c>
      <c r="J99" s="33"/>
    </row>
    <row r="100" spans="1:15" ht="15.6" x14ac:dyDescent="0.25">
      <c r="A100" s="5"/>
      <c r="B100" s="29" t="s">
        <v>36</v>
      </c>
      <c r="C100" s="30" t="s">
        <v>64</v>
      </c>
      <c r="D100" s="6">
        <v>12</v>
      </c>
      <c r="E100" s="6"/>
      <c r="F100" s="19"/>
      <c r="G100" s="7">
        <f>190/30</f>
        <v>6.33</v>
      </c>
      <c r="I100" s="32">
        <f>G100*D100*F98</f>
        <v>559.23</v>
      </c>
      <c r="J100" s="33"/>
    </row>
    <row r="101" spans="1:15" ht="21" customHeight="1" x14ac:dyDescent="0.25">
      <c r="A101" s="22">
        <v>21</v>
      </c>
      <c r="B101" s="23" t="s">
        <v>33</v>
      </c>
      <c r="C101" s="34" t="s">
        <v>39</v>
      </c>
      <c r="D101" s="25"/>
      <c r="E101" s="25" t="s">
        <v>35</v>
      </c>
      <c r="F101" s="26">
        <f>F98+F95+F87+F90</f>
        <v>1245.4856</v>
      </c>
      <c r="G101" s="27">
        <v>115</v>
      </c>
      <c r="H101" s="26">
        <f>F101*G101</f>
        <v>143230.84400000001</v>
      </c>
      <c r="I101" s="37"/>
      <c r="J101" s="28">
        <f>H101+I102+I103</f>
        <v>154442.71</v>
      </c>
    </row>
    <row r="102" spans="1:15" ht="15.6" x14ac:dyDescent="0.25">
      <c r="A102" s="5"/>
      <c r="B102" s="29" t="s">
        <v>36</v>
      </c>
      <c r="C102" s="30" t="s">
        <v>40</v>
      </c>
      <c r="D102" s="6">
        <v>0.2</v>
      </c>
      <c r="E102" s="6"/>
      <c r="F102" s="19"/>
      <c r="G102" s="35">
        <v>16</v>
      </c>
      <c r="H102" s="33"/>
      <c r="I102" s="31">
        <f>G102*D102*F101</f>
        <v>3985.5539199999998</v>
      </c>
      <c r="J102" s="33"/>
      <c r="N102" s="3">
        <f>(2.29*2+3.041+2.08+1.98+2.94)*15-(0.64*2)*6+1.48*8</f>
        <v>223.47499999999999</v>
      </c>
    </row>
    <row r="103" spans="1:15" ht="15.6" x14ac:dyDescent="0.25">
      <c r="A103" s="5"/>
      <c r="B103" s="29" t="s">
        <v>36</v>
      </c>
      <c r="C103" s="30" t="s">
        <v>56</v>
      </c>
      <c r="D103" s="6">
        <v>0.6</v>
      </c>
      <c r="E103" s="6"/>
      <c r="F103" s="19"/>
      <c r="G103" s="7">
        <f>290/30</f>
        <v>9.67</v>
      </c>
      <c r="H103" s="33"/>
      <c r="I103" s="31">
        <f>G103*D103*F101</f>
        <v>7226.3074512000003</v>
      </c>
      <c r="J103" s="33"/>
      <c r="N103" s="3">
        <f>2.81*N102*8</f>
        <v>5023.7179999999998</v>
      </c>
      <c r="O103" s="3" t="s">
        <v>73</v>
      </c>
    </row>
    <row r="104" spans="1:15" x14ac:dyDescent="0.25">
      <c r="A104" s="22">
        <v>22</v>
      </c>
      <c r="B104" s="23" t="s">
        <v>33</v>
      </c>
      <c r="C104" s="34" t="s">
        <v>42</v>
      </c>
      <c r="D104" s="25"/>
      <c r="E104" s="25" t="s">
        <v>35</v>
      </c>
      <c r="F104" s="36">
        <f>F101</f>
        <v>1245.4856</v>
      </c>
      <c r="G104" s="27">
        <v>115</v>
      </c>
      <c r="H104" s="26">
        <f>F104*G104</f>
        <v>143230.84400000001</v>
      </c>
      <c r="I104" s="37"/>
      <c r="J104" s="28">
        <f>H104+I105+I106+I107</f>
        <v>364161.3</v>
      </c>
      <c r="O104" s="55">
        <v>44410</v>
      </c>
    </row>
    <row r="105" spans="1:15" ht="15.6" x14ac:dyDescent="0.25">
      <c r="A105" s="5"/>
      <c r="B105" s="29" t="s">
        <v>36</v>
      </c>
      <c r="C105" s="30" t="s">
        <v>43</v>
      </c>
      <c r="D105" s="38">
        <v>0.2</v>
      </c>
      <c r="E105" s="38"/>
      <c r="F105" s="39"/>
      <c r="G105" s="35">
        <v>16</v>
      </c>
      <c r="H105" s="31"/>
      <c r="I105" s="32">
        <f>G105*D105*F104</f>
        <v>3985.55</v>
      </c>
      <c r="J105" s="40"/>
    </row>
    <row r="106" spans="1:15" ht="15.6" x14ac:dyDescent="0.25">
      <c r="A106" s="5"/>
      <c r="B106" s="29" t="s">
        <v>36</v>
      </c>
      <c r="C106" s="30" t="s">
        <v>44</v>
      </c>
      <c r="D106" s="38">
        <v>1.5</v>
      </c>
      <c r="E106" s="38"/>
      <c r="F106" s="39"/>
      <c r="G106" s="41">
        <f>980/25</f>
        <v>39.200000000000003</v>
      </c>
      <c r="H106" s="31"/>
      <c r="I106" s="32">
        <f>G106*D106*F104</f>
        <v>73234.55</v>
      </c>
      <c r="J106" s="40"/>
    </row>
    <row r="107" spans="1:15" ht="24" x14ac:dyDescent="0.25">
      <c r="A107" s="5"/>
      <c r="B107" s="29" t="s">
        <v>36</v>
      </c>
      <c r="C107" s="30" t="s">
        <v>74</v>
      </c>
      <c r="D107" s="38">
        <v>0.5</v>
      </c>
      <c r="E107" s="38"/>
      <c r="F107" s="39"/>
      <c r="G107" s="7">
        <f>3000/13</f>
        <v>230.77</v>
      </c>
      <c r="H107" s="31"/>
      <c r="I107" s="32">
        <f>G107*D107*F104</f>
        <v>143710.35999999999</v>
      </c>
      <c r="J107" s="40"/>
      <c r="L107" s="3">
        <f>4.43*18*2.81</f>
        <v>224.0694</v>
      </c>
    </row>
    <row r="108" spans="1:15" ht="15.75" customHeight="1" x14ac:dyDescent="0.25">
      <c r="A108" s="171" t="s">
        <v>75</v>
      </c>
      <c r="B108" s="171"/>
      <c r="C108" s="171"/>
      <c r="D108" s="171"/>
      <c r="E108" s="171"/>
      <c r="F108" s="171"/>
      <c r="G108" s="171"/>
      <c r="H108" s="171"/>
      <c r="I108" s="171"/>
      <c r="J108" s="171"/>
    </row>
    <row r="109" spans="1:15" ht="15.75" customHeight="1" x14ac:dyDescent="0.25">
      <c r="A109" s="171" t="s">
        <v>76</v>
      </c>
      <c r="B109" s="171"/>
      <c r="C109" s="171"/>
      <c r="D109" s="171"/>
      <c r="E109" s="171"/>
      <c r="F109" s="171"/>
      <c r="G109" s="171"/>
      <c r="H109" s="171"/>
      <c r="I109" s="171"/>
      <c r="J109" s="171"/>
    </row>
    <row r="110" spans="1:15" ht="15.75" customHeight="1" x14ac:dyDescent="0.25">
      <c r="A110" s="171" t="s">
        <v>46</v>
      </c>
      <c r="B110" s="171"/>
      <c r="C110" s="171"/>
      <c r="D110" s="171"/>
      <c r="E110" s="171"/>
      <c r="F110" s="171"/>
      <c r="G110" s="171"/>
      <c r="H110" s="171"/>
      <c r="I110" s="171"/>
      <c r="J110" s="171"/>
    </row>
    <row r="111" spans="1:15" ht="43.5" customHeight="1" x14ac:dyDescent="0.25">
      <c r="A111" s="22">
        <v>26</v>
      </c>
      <c r="B111" s="23" t="s">
        <v>33</v>
      </c>
      <c r="C111" s="24" t="s">
        <v>77</v>
      </c>
      <c r="D111" s="25"/>
      <c r="E111" s="25" t="s">
        <v>35</v>
      </c>
      <c r="F111" s="26">
        <f>110*2.81+87.6*2.81*7</f>
        <v>2032.192</v>
      </c>
      <c r="G111" s="27">
        <v>180</v>
      </c>
      <c r="H111" s="26">
        <f>F111*G111</f>
        <v>365794.56</v>
      </c>
      <c r="I111" s="26"/>
      <c r="J111" s="28">
        <f>H111+I112+I113</f>
        <v>573789.41</v>
      </c>
    </row>
    <row r="112" spans="1:15" ht="15.6" x14ac:dyDescent="0.25">
      <c r="A112" s="5"/>
      <c r="B112" s="29" t="s">
        <v>36</v>
      </c>
      <c r="C112" s="30" t="s">
        <v>48</v>
      </c>
      <c r="D112" s="6">
        <v>0.2</v>
      </c>
      <c r="E112" s="6"/>
      <c r="F112" s="19"/>
      <c r="G112" s="7">
        <v>37</v>
      </c>
      <c r="H112" s="31"/>
      <c r="I112" s="32">
        <f>G112*D112*F111</f>
        <v>15038.22</v>
      </c>
      <c r="J112" s="33"/>
    </row>
    <row r="113" spans="1:10" ht="15.6" x14ac:dyDescent="0.25">
      <c r="A113" s="5"/>
      <c r="B113" s="29" t="s">
        <v>36</v>
      </c>
      <c r="C113" s="30" t="s">
        <v>38</v>
      </c>
      <c r="D113" s="6">
        <v>15</v>
      </c>
      <c r="E113" s="6"/>
      <c r="F113" s="19"/>
      <c r="G113" s="7">
        <f>190/30</f>
        <v>6.33</v>
      </c>
      <c r="I113" s="32">
        <f>G113*D113*F111</f>
        <v>192956.63</v>
      </c>
      <c r="J113" s="33"/>
    </row>
    <row r="114" spans="1:10" ht="41.25" customHeight="1" x14ac:dyDescent="0.25">
      <c r="A114" s="22">
        <v>27</v>
      </c>
      <c r="B114" s="23" t="s">
        <v>33</v>
      </c>
      <c r="C114" s="24" t="s">
        <v>78</v>
      </c>
      <c r="D114" s="25"/>
      <c r="E114" s="25" t="s">
        <v>35</v>
      </c>
      <c r="F114" s="26">
        <f>2.81*N102*8</f>
        <v>5023.7179999999998</v>
      </c>
      <c r="G114" s="27">
        <v>145</v>
      </c>
      <c r="H114" s="26">
        <f>F114*G114</f>
        <v>728439.11</v>
      </c>
      <c r="I114" s="26"/>
      <c r="J114" s="28">
        <f>H114+I115+I116</f>
        <v>773662.62</v>
      </c>
    </row>
    <row r="115" spans="1:10" ht="15.6" x14ac:dyDescent="0.25">
      <c r="A115" s="5"/>
      <c r="B115" s="29" t="s">
        <v>36</v>
      </c>
      <c r="C115" s="30" t="s">
        <v>40</v>
      </c>
      <c r="D115" s="6">
        <v>0.2</v>
      </c>
      <c r="E115" s="6"/>
      <c r="F115" s="19"/>
      <c r="G115" s="35">
        <v>16</v>
      </c>
      <c r="H115" s="33"/>
      <c r="I115" s="32">
        <f>G115*D115*F114</f>
        <v>16075.9</v>
      </c>
      <c r="J115" s="33"/>
    </row>
    <row r="116" spans="1:10" ht="15.6" x14ac:dyDescent="0.25">
      <c r="A116" s="5"/>
      <c r="B116" s="29" t="s">
        <v>36</v>
      </c>
      <c r="C116" s="30" t="s">
        <v>56</v>
      </c>
      <c r="D116" s="6">
        <v>0.6</v>
      </c>
      <c r="E116" s="6"/>
      <c r="F116" s="19"/>
      <c r="G116" s="7">
        <f>290/30</f>
        <v>9.67</v>
      </c>
      <c r="H116" s="33"/>
      <c r="I116" s="32">
        <f>G116*D116*F114</f>
        <v>29147.61</v>
      </c>
      <c r="J116" s="33"/>
    </row>
    <row r="117" spans="1:10" ht="15.75" customHeight="1" x14ac:dyDescent="0.25">
      <c r="A117" s="173" t="s">
        <v>79</v>
      </c>
      <c r="B117" s="173"/>
      <c r="C117" s="173"/>
      <c r="D117" s="173"/>
      <c r="E117" s="173"/>
      <c r="F117" s="173"/>
      <c r="G117" s="173"/>
      <c r="H117" s="173"/>
      <c r="I117" s="173"/>
      <c r="J117" s="173"/>
    </row>
    <row r="118" spans="1:10" ht="15.75" customHeight="1" x14ac:dyDescent="0.25">
      <c r="A118" s="171" t="s">
        <v>32</v>
      </c>
      <c r="B118" s="171"/>
      <c r="C118" s="171"/>
      <c r="D118" s="171"/>
      <c r="E118" s="171"/>
      <c r="F118" s="171"/>
      <c r="G118" s="171"/>
      <c r="H118" s="171"/>
      <c r="I118" s="171"/>
      <c r="J118" s="171"/>
    </row>
    <row r="119" spans="1:10" ht="53.25" customHeight="1" x14ac:dyDescent="0.25">
      <c r="A119" s="22">
        <v>28</v>
      </c>
      <c r="B119" s="23" t="s">
        <v>33</v>
      </c>
      <c r="C119" s="34" t="s">
        <v>80</v>
      </c>
      <c r="D119" s="25"/>
      <c r="E119" s="25" t="s">
        <v>35</v>
      </c>
      <c r="F119" s="26">
        <f>8.5+12.63</f>
        <v>21.13</v>
      </c>
      <c r="G119" s="27">
        <v>180</v>
      </c>
      <c r="H119" s="26">
        <f>F119*G119</f>
        <v>3803.4</v>
      </c>
      <c r="I119" s="26"/>
      <c r="J119" s="28">
        <f>H119+I120+I121</f>
        <v>5564.79</v>
      </c>
    </row>
    <row r="120" spans="1:10" ht="15.6" x14ac:dyDescent="0.25">
      <c r="A120" s="5"/>
      <c r="B120" s="29" t="s">
        <v>36</v>
      </c>
      <c r="C120" s="30" t="s">
        <v>48</v>
      </c>
      <c r="D120" s="6">
        <v>0.2</v>
      </c>
      <c r="E120" s="6"/>
      <c r="F120" s="19"/>
      <c r="G120" s="7">
        <v>37</v>
      </c>
      <c r="H120" s="31"/>
      <c r="I120" s="32">
        <f>G120*D120*F119</f>
        <v>156.36000000000001</v>
      </c>
      <c r="J120" s="33"/>
    </row>
    <row r="121" spans="1:10" ht="15.6" x14ac:dyDescent="0.25">
      <c r="A121" s="5"/>
      <c r="B121" s="29" t="s">
        <v>36</v>
      </c>
      <c r="C121" s="30" t="s">
        <v>64</v>
      </c>
      <c r="D121" s="6">
        <v>12</v>
      </c>
      <c r="E121" s="6"/>
      <c r="F121" s="19"/>
      <c r="G121" s="7">
        <f>190/30</f>
        <v>6.33</v>
      </c>
      <c r="I121" s="32">
        <f>G121*D121*F119</f>
        <v>1605.03</v>
      </c>
      <c r="J121" s="33"/>
    </row>
    <row r="122" spans="1:10" ht="21" customHeight="1" x14ac:dyDescent="0.25">
      <c r="A122" s="22">
        <v>29</v>
      </c>
      <c r="B122" s="23" t="s">
        <v>33</v>
      </c>
      <c r="C122" s="24" t="s">
        <v>39</v>
      </c>
      <c r="D122" s="25" t="s">
        <v>35</v>
      </c>
      <c r="E122" s="25" t="s">
        <v>35</v>
      </c>
      <c r="F122" s="36">
        <f>F119</f>
        <v>21.13</v>
      </c>
      <c r="G122" s="27">
        <v>115</v>
      </c>
      <c r="H122" s="26">
        <f>F122*G122</f>
        <v>2429.9499999999998</v>
      </c>
      <c r="I122" s="26"/>
      <c r="J122" s="28">
        <f>H122+I123+I124</f>
        <v>2620.17</v>
      </c>
    </row>
    <row r="123" spans="1:10" ht="15.6" x14ac:dyDescent="0.25">
      <c r="A123" s="5"/>
      <c r="B123" s="29" t="s">
        <v>36</v>
      </c>
      <c r="C123" s="30" t="s">
        <v>81</v>
      </c>
      <c r="D123" s="6">
        <v>0.2</v>
      </c>
      <c r="E123" s="6"/>
      <c r="F123" s="19"/>
      <c r="G123" s="35">
        <v>16</v>
      </c>
      <c r="H123" s="33"/>
      <c r="I123" s="32">
        <f>G123*D123*F122</f>
        <v>67.62</v>
      </c>
      <c r="J123" s="33"/>
    </row>
    <row r="124" spans="1:10" ht="15.6" x14ac:dyDescent="0.25">
      <c r="A124" s="5"/>
      <c r="B124" s="29" t="s">
        <v>36</v>
      </c>
      <c r="C124" s="30" t="s">
        <v>56</v>
      </c>
      <c r="D124" s="6">
        <v>0.6</v>
      </c>
      <c r="E124" s="6"/>
      <c r="F124" s="19"/>
      <c r="G124" s="7">
        <f>290/30</f>
        <v>9.67</v>
      </c>
      <c r="H124" s="33"/>
      <c r="I124" s="32">
        <f>G124*D124*F122</f>
        <v>122.6</v>
      </c>
      <c r="J124" s="33"/>
    </row>
    <row r="125" spans="1:10" ht="14.4" x14ac:dyDescent="0.3">
      <c r="A125" s="45">
        <v>30</v>
      </c>
      <c r="B125" s="46" t="s">
        <v>33</v>
      </c>
      <c r="C125" s="47" t="s">
        <v>82</v>
      </c>
      <c r="D125" s="48"/>
      <c r="E125" s="48" t="s">
        <v>35</v>
      </c>
      <c r="F125" s="56">
        <f>F122</f>
        <v>21.13</v>
      </c>
      <c r="G125" s="50">
        <v>115</v>
      </c>
      <c r="H125" s="49">
        <f>F125*G125</f>
        <v>2429.9499999999998</v>
      </c>
      <c r="I125" s="57"/>
      <c r="J125" s="51" t="e">
        <f>H125+I126+#REF!+I127</f>
        <v>#REF!</v>
      </c>
    </row>
    <row r="126" spans="1:10" ht="14.4" x14ac:dyDescent="0.3">
      <c r="A126" s="45"/>
      <c r="B126" s="52" t="s">
        <v>36</v>
      </c>
      <c r="C126" s="47" t="s">
        <v>43</v>
      </c>
      <c r="D126" s="58">
        <v>0.2</v>
      </c>
      <c r="E126" s="58"/>
      <c r="F126" s="59"/>
      <c r="G126" s="50">
        <v>16</v>
      </c>
      <c r="H126" s="49"/>
      <c r="I126" s="51">
        <f>G126*D126*F125</f>
        <v>67.62</v>
      </c>
      <c r="J126" s="59"/>
    </row>
    <row r="127" spans="1:10" ht="28.8" x14ac:dyDescent="0.3">
      <c r="A127" s="45"/>
      <c r="B127" s="52" t="s">
        <v>36</v>
      </c>
      <c r="C127" s="47" t="s">
        <v>45</v>
      </c>
      <c r="D127" s="58">
        <v>0.5</v>
      </c>
      <c r="E127" s="58"/>
      <c r="F127" s="59"/>
      <c r="G127" s="53">
        <f>3000/13</f>
        <v>230.77</v>
      </c>
      <c r="H127" s="49"/>
      <c r="I127" s="51">
        <f>G127*D127*F125</f>
        <v>2438.09</v>
      </c>
      <c r="J127" s="59"/>
    </row>
    <row r="128" spans="1:10" ht="15" customHeight="1" x14ac:dyDescent="0.25">
      <c r="A128" s="171" t="s">
        <v>46</v>
      </c>
      <c r="B128" s="171"/>
      <c r="C128" s="171"/>
      <c r="D128" s="171"/>
      <c r="E128" s="171"/>
      <c r="F128" s="171"/>
      <c r="G128" s="171"/>
      <c r="H128" s="171"/>
      <c r="I128" s="171"/>
      <c r="J128" s="171"/>
    </row>
    <row r="129" spans="1:11" x14ac:dyDescent="0.25">
      <c r="A129" s="22"/>
      <c r="B129" s="23"/>
      <c r="C129" s="34"/>
      <c r="D129" s="25"/>
      <c r="E129" s="25"/>
      <c r="F129" s="36"/>
      <c r="G129" s="27"/>
      <c r="H129" s="26"/>
      <c r="I129" s="37"/>
      <c r="J129" s="28"/>
    </row>
    <row r="130" spans="1:11" ht="46.5" customHeight="1" x14ac:dyDescent="0.3">
      <c r="A130" s="45"/>
      <c r="B130" s="52"/>
      <c r="C130" s="47" t="s">
        <v>83</v>
      </c>
      <c r="D130" s="58"/>
      <c r="E130" s="54" t="s">
        <v>35</v>
      </c>
      <c r="F130" s="58">
        <f>19*2.55</f>
        <v>48.45</v>
      </c>
      <c r="G130" s="50"/>
      <c r="H130" s="49"/>
      <c r="I130" s="49"/>
      <c r="J130" s="59"/>
    </row>
    <row r="131" spans="1:11" ht="60" customHeight="1" x14ac:dyDescent="0.3">
      <c r="A131" s="60" t="s">
        <v>10</v>
      </c>
      <c r="B131" s="61" t="s">
        <v>33</v>
      </c>
      <c r="C131" s="62" t="s">
        <v>47</v>
      </c>
      <c r="D131" s="63"/>
      <c r="E131" s="63" t="s">
        <v>35</v>
      </c>
      <c r="F131" s="64">
        <f>17.6*2.55</f>
        <v>44.88</v>
      </c>
      <c r="G131" s="65">
        <v>180</v>
      </c>
      <c r="H131" s="64">
        <f>F131*G131</f>
        <v>8078.4</v>
      </c>
      <c r="I131" s="64"/>
      <c r="J131" s="66">
        <f>H131+I132+I133</f>
        <v>12671.87</v>
      </c>
      <c r="K131" s="3">
        <f>2.55*(9.8+32.3+11.1)</f>
        <v>135.66</v>
      </c>
    </row>
    <row r="132" spans="1:11" ht="15.6" x14ac:dyDescent="0.25">
      <c r="A132" s="5"/>
      <c r="B132" s="29" t="s">
        <v>36</v>
      </c>
      <c r="C132" s="30" t="s">
        <v>48</v>
      </c>
      <c r="D132" s="6">
        <v>0.2</v>
      </c>
      <c r="E132" s="6"/>
      <c r="F132" s="19"/>
      <c r="G132" s="7">
        <v>37</v>
      </c>
      <c r="H132" s="31"/>
      <c r="I132" s="32">
        <f>G132*D132*F131</f>
        <v>332.11</v>
      </c>
      <c r="J132" s="33"/>
    </row>
    <row r="133" spans="1:11" ht="15.6" x14ac:dyDescent="0.25">
      <c r="A133" s="5"/>
      <c r="B133" s="29" t="s">
        <v>36</v>
      </c>
      <c r="C133" s="30" t="s">
        <v>38</v>
      </c>
      <c r="D133" s="6">
        <v>15</v>
      </c>
      <c r="E133" s="6"/>
      <c r="F133" s="19"/>
      <c r="G133" s="7">
        <f>190/30</f>
        <v>6.33</v>
      </c>
      <c r="I133" s="31">
        <f>G133*D133*F131</f>
        <v>4261.3559999999998</v>
      </c>
      <c r="J133" s="33"/>
    </row>
    <row r="134" spans="1:11" ht="21" customHeight="1" x14ac:dyDescent="0.25">
      <c r="A134" s="22">
        <v>29</v>
      </c>
      <c r="B134" s="23" t="s">
        <v>33</v>
      </c>
      <c r="C134" s="24" t="s">
        <v>39</v>
      </c>
      <c r="D134" s="25" t="s">
        <v>35</v>
      </c>
      <c r="E134" s="25" t="s">
        <v>35</v>
      </c>
      <c r="F134" s="36">
        <f>F131+F130</f>
        <v>93.33</v>
      </c>
      <c r="G134" s="27">
        <v>115</v>
      </c>
      <c r="H134" s="26">
        <f>F134*G134</f>
        <v>10732.95</v>
      </c>
      <c r="I134" s="26"/>
      <c r="J134" s="28">
        <f>H134+I135+I136</f>
        <v>11573.11</v>
      </c>
    </row>
    <row r="135" spans="1:11" ht="15.6" x14ac:dyDescent="0.25">
      <c r="A135" s="5"/>
      <c r="B135" s="29" t="s">
        <v>36</v>
      </c>
      <c r="C135" s="30" t="s">
        <v>81</v>
      </c>
      <c r="D135" s="6">
        <v>0.2</v>
      </c>
      <c r="E135" s="6"/>
      <c r="F135" s="19"/>
      <c r="G135" s="35">
        <v>16</v>
      </c>
      <c r="H135" s="33"/>
      <c r="I135" s="32">
        <f>G135*D135*F134</f>
        <v>298.66000000000003</v>
      </c>
      <c r="J135" s="33"/>
    </row>
    <row r="136" spans="1:11" ht="15.6" x14ac:dyDescent="0.25">
      <c r="A136" s="5"/>
      <c r="B136" s="29" t="s">
        <v>36</v>
      </c>
      <c r="C136" s="30" t="s">
        <v>56</v>
      </c>
      <c r="D136" s="6">
        <v>0.6</v>
      </c>
      <c r="E136" s="6"/>
      <c r="F136" s="19"/>
      <c r="G136" s="7">
        <f>290/30</f>
        <v>9.67</v>
      </c>
      <c r="H136" s="33"/>
      <c r="I136" s="32">
        <f>G136*D136*F134</f>
        <v>541.5</v>
      </c>
      <c r="J136" s="33"/>
    </row>
    <row r="137" spans="1:11" ht="14.4" x14ac:dyDescent="0.3">
      <c r="A137" s="45">
        <v>3</v>
      </c>
      <c r="B137" s="46" t="s">
        <v>33</v>
      </c>
      <c r="C137" s="47" t="s">
        <v>82</v>
      </c>
      <c r="D137" s="48"/>
      <c r="E137" s="48" t="s">
        <v>35</v>
      </c>
      <c r="F137" s="56">
        <f>F131+F130</f>
        <v>93.33</v>
      </c>
      <c r="G137" s="50">
        <v>115</v>
      </c>
      <c r="H137" s="49">
        <f>F137*G137</f>
        <v>10732.95</v>
      </c>
      <c r="I137" s="57"/>
      <c r="J137" s="51">
        <f>H137+I138+I139</f>
        <v>21800.49</v>
      </c>
    </row>
    <row r="138" spans="1:11" ht="14.4" x14ac:dyDescent="0.3">
      <c r="A138" s="45"/>
      <c r="B138" s="52" t="s">
        <v>36</v>
      </c>
      <c r="C138" s="47" t="s">
        <v>43</v>
      </c>
      <c r="D138" s="58">
        <v>0.2</v>
      </c>
      <c r="E138" s="58"/>
      <c r="F138" s="59"/>
      <c r="G138" s="50">
        <v>16</v>
      </c>
      <c r="H138" s="49"/>
      <c r="I138" s="49">
        <f>G138*D138*F137</f>
        <v>298.65600000000001</v>
      </c>
      <c r="J138" s="59"/>
    </row>
    <row r="139" spans="1:11" ht="28.8" x14ac:dyDescent="0.3">
      <c r="A139" s="45"/>
      <c r="B139" s="52" t="s">
        <v>36</v>
      </c>
      <c r="C139" s="47" t="s">
        <v>45</v>
      </c>
      <c r="D139" s="58">
        <v>0.5</v>
      </c>
      <c r="E139" s="58"/>
      <c r="F139" s="59"/>
      <c r="G139" s="53">
        <f>3000/13</f>
        <v>230.77</v>
      </c>
      <c r="H139" s="49"/>
      <c r="I139" s="51">
        <f>G139*D139*F137</f>
        <v>10768.88</v>
      </c>
      <c r="J139" s="59"/>
    </row>
    <row r="140" spans="1:11" ht="15.75" customHeight="1" x14ac:dyDescent="0.25">
      <c r="A140" s="173" t="s">
        <v>84</v>
      </c>
      <c r="B140" s="173"/>
      <c r="C140" s="173"/>
      <c r="D140" s="173"/>
      <c r="E140" s="173"/>
      <c r="F140" s="173"/>
      <c r="G140" s="173"/>
      <c r="H140" s="173"/>
      <c r="I140" s="173"/>
      <c r="J140" s="173"/>
    </row>
    <row r="141" spans="1:11" ht="15.75" customHeight="1" x14ac:dyDescent="0.25">
      <c r="A141" s="171" t="s">
        <v>85</v>
      </c>
      <c r="B141" s="171"/>
      <c r="C141" s="171"/>
      <c r="D141" s="171"/>
      <c r="E141" s="171"/>
      <c r="F141" s="171"/>
      <c r="G141" s="171"/>
      <c r="H141" s="171"/>
      <c r="I141" s="171"/>
      <c r="J141" s="171"/>
    </row>
    <row r="142" spans="1:11" x14ac:dyDescent="0.25">
      <c r="A142" s="67">
        <v>31</v>
      </c>
      <c r="B142" s="68" t="s">
        <v>33</v>
      </c>
      <c r="C142" s="34" t="s">
        <v>86</v>
      </c>
      <c r="D142" s="25"/>
      <c r="E142" s="25" t="s">
        <v>35</v>
      </c>
      <c r="F142" s="36">
        <v>12.9</v>
      </c>
      <c r="G142" s="27">
        <v>400</v>
      </c>
      <c r="H142" s="26">
        <f>F142*G142</f>
        <v>5160</v>
      </c>
      <c r="I142" s="26"/>
      <c r="J142" s="28">
        <f>H142+I143+I144+I145+I146</f>
        <v>5655.04</v>
      </c>
    </row>
    <row r="143" spans="1:11" ht="15.6" x14ac:dyDescent="0.3">
      <c r="A143" s="69"/>
      <c r="B143" s="29" t="s">
        <v>36</v>
      </c>
      <c r="C143" s="30" t="s">
        <v>87</v>
      </c>
      <c r="D143" s="70">
        <v>0.2</v>
      </c>
      <c r="E143" s="71"/>
      <c r="F143" s="39"/>
      <c r="G143" s="35">
        <v>15.5</v>
      </c>
      <c r="H143" s="40"/>
      <c r="I143" s="32">
        <f>G143*D143*F142</f>
        <v>39.99</v>
      </c>
      <c r="J143" s="71"/>
    </row>
    <row r="144" spans="1:11" ht="15.6" x14ac:dyDescent="0.3">
      <c r="A144" s="69"/>
      <c r="B144" s="29" t="s">
        <v>36</v>
      </c>
      <c r="C144" s="30" t="s">
        <v>88</v>
      </c>
      <c r="D144" s="70">
        <v>1.02</v>
      </c>
      <c r="E144" s="71"/>
      <c r="F144" s="39"/>
      <c r="G144" s="35"/>
      <c r="H144" s="40"/>
      <c r="I144" s="32">
        <f>G144*D144*F142</f>
        <v>0</v>
      </c>
      <c r="J144" s="71"/>
    </row>
    <row r="145" spans="1:10" ht="15.6" x14ac:dyDescent="0.3">
      <c r="A145" s="69"/>
      <c r="B145" s="29" t="s">
        <v>36</v>
      </c>
      <c r="C145" s="72" t="s">
        <v>89</v>
      </c>
      <c r="D145" s="70">
        <v>4.2</v>
      </c>
      <c r="E145" s="71"/>
      <c r="F145" s="39"/>
      <c r="G145" s="35">
        <f>150/25</f>
        <v>6</v>
      </c>
      <c r="H145" s="40"/>
      <c r="I145" s="32">
        <f>G145*D145*F142</f>
        <v>325.08</v>
      </c>
      <c r="J145" s="71"/>
    </row>
    <row r="146" spans="1:10" ht="15.6" x14ac:dyDescent="0.3">
      <c r="A146" s="69"/>
      <c r="B146" s="29" t="s">
        <v>36</v>
      </c>
      <c r="C146" s="72" t="s">
        <v>90</v>
      </c>
      <c r="D146" s="70">
        <v>0.13</v>
      </c>
      <c r="E146" s="71"/>
      <c r="F146" s="39"/>
      <c r="G146" s="35">
        <f>155/2</f>
        <v>77.5</v>
      </c>
      <c r="H146" s="40"/>
      <c r="I146" s="32">
        <f>F142*D146*G146</f>
        <v>129.97</v>
      </c>
      <c r="J146" s="71"/>
    </row>
    <row r="147" spans="1:10" ht="15.75" customHeight="1" x14ac:dyDescent="0.25">
      <c r="A147" s="172" t="s">
        <v>91</v>
      </c>
      <c r="B147" s="172"/>
      <c r="C147" s="172"/>
      <c r="D147" s="172"/>
      <c r="E147" s="172"/>
      <c r="F147" s="172"/>
      <c r="G147" s="172"/>
      <c r="H147" s="172"/>
      <c r="I147" s="172"/>
      <c r="J147" s="172"/>
    </row>
    <row r="148" spans="1:10" ht="24" customHeight="1" x14ac:dyDescent="0.25">
      <c r="A148" s="67">
        <v>32</v>
      </c>
      <c r="B148" s="68" t="s">
        <v>33</v>
      </c>
      <c r="C148" s="34" t="s">
        <v>86</v>
      </c>
      <c r="D148" s="25"/>
      <c r="E148" s="25" t="s">
        <v>35</v>
      </c>
      <c r="F148" s="26">
        <v>92.2</v>
      </c>
      <c r="G148" s="27">
        <v>400</v>
      </c>
      <c r="H148" s="26">
        <f>F148*G148</f>
        <v>36880</v>
      </c>
      <c r="I148" s="37"/>
      <c r="J148" s="28">
        <f>H148+I149+I150+I151+I152</f>
        <v>40418.18</v>
      </c>
    </row>
    <row r="149" spans="1:10" ht="15.6" x14ac:dyDescent="0.3">
      <c r="A149" s="69"/>
      <c r="B149" s="29" t="s">
        <v>36</v>
      </c>
      <c r="C149" s="30" t="s">
        <v>92</v>
      </c>
      <c r="D149" s="70">
        <v>0.2</v>
      </c>
      <c r="E149" s="71"/>
      <c r="F149" s="39"/>
      <c r="G149" s="35">
        <v>15.5</v>
      </c>
      <c r="H149" s="40"/>
      <c r="I149" s="32">
        <f>G149*D149*F148</f>
        <v>285.82</v>
      </c>
      <c r="J149" s="71"/>
    </row>
    <row r="150" spans="1:10" ht="15.6" x14ac:dyDescent="0.3">
      <c r="A150" s="69"/>
      <c r="B150" s="73" t="s">
        <v>67</v>
      </c>
      <c r="C150" s="30" t="s">
        <v>88</v>
      </c>
      <c r="D150" s="70">
        <v>1.02</v>
      </c>
      <c r="E150" s="71"/>
      <c r="F150" s="39"/>
      <c r="G150" s="35"/>
      <c r="H150" s="40"/>
      <c r="I150" s="32">
        <f>G150*D150*F148</f>
        <v>0</v>
      </c>
      <c r="J150" s="71"/>
    </row>
    <row r="151" spans="1:10" ht="15.6" x14ac:dyDescent="0.3">
      <c r="A151" s="69"/>
      <c r="B151" s="29" t="s">
        <v>36</v>
      </c>
      <c r="C151" s="72" t="s">
        <v>93</v>
      </c>
      <c r="D151" s="70">
        <v>4.2</v>
      </c>
      <c r="E151" s="71"/>
      <c r="F151" s="39"/>
      <c r="G151" s="35">
        <f>150/25</f>
        <v>6</v>
      </c>
      <c r="H151" s="40"/>
      <c r="I151" s="32">
        <f>G151*D151*F148</f>
        <v>2323.44</v>
      </c>
      <c r="J151" s="71"/>
    </row>
    <row r="152" spans="1:10" ht="15.6" x14ac:dyDescent="0.3">
      <c r="A152" s="69"/>
      <c r="B152" s="29" t="s">
        <v>36</v>
      </c>
      <c r="C152" s="72" t="s">
        <v>94</v>
      </c>
      <c r="D152" s="70">
        <v>0.13</v>
      </c>
      <c r="E152" s="71"/>
      <c r="F152" s="39"/>
      <c r="G152" s="35">
        <f>155/2</f>
        <v>77.5</v>
      </c>
      <c r="H152" s="40"/>
      <c r="I152" s="32">
        <f>F148*D152*G152</f>
        <v>928.92</v>
      </c>
      <c r="J152" s="71"/>
    </row>
    <row r="153" spans="1:10" ht="14.4" x14ac:dyDescent="0.25">
      <c r="A153" s="172" t="s">
        <v>95</v>
      </c>
      <c r="B153" s="172"/>
      <c r="C153" s="172"/>
      <c r="D153" s="172"/>
      <c r="E153" s="172"/>
      <c r="F153" s="172"/>
      <c r="G153" s="172"/>
      <c r="H153" s="172"/>
      <c r="I153" s="172"/>
      <c r="J153" s="172"/>
    </row>
    <row r="154" spans="1:10" x14ac:dyDescent="0.25">
      <c r="A154" s="67">
        <v>33</v>
      </c>
      <c r="B154" s="68" t="s">
        <v>33</v>
      </c>
      <c r="C154" s="34" t="s">
        <v>86</v>
      </c>
      <c r="D154" s="25" t="s">
        <v>35</v>
      </c>
      <c r="E154" s="25" t="s">
        <v>35</v>
      </c>
      <c r="F154" s="36">
        <v>5</v>
      </c>
      <c r="G154" s="27">
        <v>400</v>
      </c>
      <c r="H154" s="26">
        <f>F154*G154</f>
        <v>2000</v>
      </c>
      <c r="I154" s="26"/>
      <c r="J154" s="28">
        <f>H154+I155+I156+I157+I158</f>
        <v>2191.88</v>
      </c>
    </row>
    <row r="155" spans="1:10" ht="15.6" x14ac:dyDescent="0.3">
      <c r="A155" s="69"/>
      <c r="B155" s="29" t="s">
        <v>36</v>
      </c>
      <c r="C155" s="30" t="s">
        <v>87</v>
      </c>
      <c r="D155" s="70">
        <v>0.2</v>
      </c>
      <c r="E155" s="71"/>
      <c r="F155" s="39"/>
      <c r="G155" s="35">
        <v>15.5</v>
      </c>
      <c r="H155" s="40"/>
      <c r="I155" s="32">
        <f>G155*D155*F154</f>
        <v>15.5</v>
      </c>
      <c r="J155" s="71"/>
    </row>
    <row r="156" spans="1:10" ht="15.6" x14ac:dyDescent="0.3">
      <c r="A156" s="69"/>
      <c r="B156" s="73" t="s">
        <v>67</v>
      </c>
      <c r="C156" s="30" t="s">
        <v>88</v>
      </c>
      <c r="D156" s="70">
        <v>1.02</v>
      </c>
      <c r="E156" s="71"/>
      <c r="F156" s="39"/>
      <c r="G156" s="35"/>
      <c r="H156" s="40"/>
      <c r="I156" s="32">
        <f>G156*D156*F154</f>
        <v>0</v>
      </c>
      <c r="J156" s="71"/>
    </row>
    <row r="157" spans="1:10" ht="15.6" x14ac:dyDescent="0.3">
      <c r="A157" s="69"/>
      <c r="B157" s="29" t="s">
        <v>36</v>
      </c>
      <c r="C157" s="72" t="s">
        <v>93</v>
      </c>
      <c r="D157" s="70">
        <v>4.2</v>
      </c>
      <c r="E157" s="71"/>
      <c r="F157" s="39"/>
      <c r="G157" s="35">
        <f>150/25</f>
        <v>6</v>
      </c>
      <c r="H157" s="40"/>
      <c r="I157" s="32">
        <f>G157*D157*F154</f>
        <v>126</v>
      </c>
      <c r="J157" s="71"/>
    </row>
    <row r="158" spans="1:10" ht="15.6" x14ac:dyDescent="0.3">
      <c r="A158" s="69"/>
      <c r="B158" s="29" t="s">
        <v>36</v>
      </c>
      <c r="C158" s="72" t="s">
        <v>94</v>
      </c>
      <c r="D158" s="70">
        <v>0.13</v>
      </c>
      <c r="E158" s="71"/>
      <c r="F158" s="39"/>
      <c r="G158" s="35">
        <f>155/2</f>
        <v>77.5</v>
      </c>
      <c r="H158" s="40"/>
      <c r="I158" s="32">
        <f>F154*D158*G158</f>
        <v>50.38</v>
      </c>
      <c r="J158" s="71"/>
    </row>
    <row r="159" spans="1:10" ht="15.75" customHeight="1" x14ac:dyDescent="0.25">
      <c r="A159" s="173" t="s">
        <v>96</v>
      </c>
      <c r="B159" s="173"/>
      <c r="C159" s="173"/>
      <c r="D159" s="173"/>
      <c r="E159" s="173"/>
      <c r="F159" s="173"/>
      <c r="G159" s="173"/>
      <c r="H159" s="173"/>
      <c r="I159" s="173"/>
      <c r="J159" s="173"/>
    </row>
    <row r="160" spans="1:10" ht="15.75" customHeight="1" x14ac:dyDescent="0.25">
      <c r="A160" s="172" t="s">
        <v>97</v>
      </c>
      <c r="B160" s="172"/>
      <c r="C160" s="172"/>
      <c r="D160" s="172"/>
      <c r="E160" s="172"/>
      <c r="F160" s="172"/>
      <c r="G160" s="172"/>
      <c r="H160" s="172"/>
      <c r="I160" s="172"/>
      <c r="J160" s="172"/>
    </row>
    <row r="161" spans="1:12" ht="24" customHeight="1" x14ac:dyDescent="0.25">
      <c r="A161" s="22">
        <v>35</v>
      </c>
      <c r="B161" s="74" t="s">
        <v>98</v>
      </c>
      <c r="C161" s="34" t="s">
        <v>86</v>
      </c>
      <c r="D161" s="25"/>
      <c r="E161" s="25" t="s">
        <v>35</v>
      </c>
      <c r="F161" s="26">
        <f>L169</f>
        <v>85.8</v>
      </c>
      <c r="G161" s="27">
        <v>400</v>
      </c>
      <c r="H161" s="26">
        <f>F161*G161</f>
        <v>34320</v>
      </c>
      <c r="I161" s="26"/>
      <c r="J161" s="28">
        <f>H161+I162+I163+I164+I165</f>
        <v>37612.58</v>
      </c>
      <c r="K161" s="3">
        <f>31+20.8+31</f>
        <v>82.8</v>
      </c>
      <c r="L161" s="3">
        <f>31+20.8+31</f>
        <v>82.8</v>
      </c>
    </row>
    <row r="162" spans="1:12" ht="15.6" x14ac:dyDescent="0.3">
      <c r="A162" s="5"/>
      <c r="B162" s="29" t="s">
        <v>36</v>
      </c>
      <c r="C162" s="30" t="s">
        <v>92</v>
      </c>
      <c r="D162" s="70">
        <v>0.2</v>
      </c>
      <c r="E162" s="71"/>
      <c r="F162" s="39"/>
      <c r="G162" s="35">
        <v>15.5</v>
      </c>
      <c r="H162" s="40"/>
      <c r="I162" s="32">
        <f>G162*D162*F161</f>
        <v>265.98</v>
      </c>
      <c r="J162" s="71"/>
      <c r="K162" s="55" t="s">
        <v>99</v>
      </c>
      <c r="L162" s="3">
        <f>30.4+30.4+19+0.2*3</f>
        <v>80.400000000000006</v>
      </c>
    </row>
    <row r="163" spans="1:12" ht="15.6" x14ac:dyDescent="0.3">
      <c r="A163" s="5"/>
      <c r="B163" s="73" t="s">
        <v>67</v>
      </c>
      <c r="C163" s="30" t="s">
        <v>88</v>
      </c>
      <c r="D163" s="70">
        <v>1.02</v>
      </c>
      <c r="E163" s="71"/>
      <c r="F163" s="39"/>
      <c r="G163" s="35"/>
      <c r="H163" s="40"/>
      <c r="I163" s="32">
        <f>G163*D163*F161</f>
        <v>0</v>
      </c>
      <c r="J163" s="71"/>
      <c r="K163" s="3">
        <v>1</v>
      </c>
      <c r="L163" s="3">
        <v>32.5</v>
      </c>
    </row>
    <row r="164" spans="1:12" ht="15.6" x14ac:dyDescent="0.3">
      <c r="A164" s="5"/>
      <c r="B164" s="29" t="s">
        <v>36</v>
      </c>
      <c r="C164" s="72" t="s">
        <v>89</v>
      </c>
      <c r="D164" s="70">
        <v>4.2</v>
      </c>
      <c r="E164" s="71"/>
      <c r="F164" s="39"/>
      <c r="G164" s="35">
        <f>150/25</f>
        <v>6</v>
      </c>
      <c r="H164" s="40"/>
      <c r="I164" s="32">
        <f>G164*D164*F161</f>
        <v>2162.16</v>
      </c>
      <c r="J164" s="71"/>
      <c r="L164" s="3">
        <v>21</v>
      </c>
    </row>
    <row r="165" spans="1:12" ht="15.6" x14ac:dyDescent="0.3">
      <c r="A165" s="5"/>
      <c r="B165" s="29" t="s">
        <v>36</v>
      </c>
      <c r="C165" s="72" t="s">
        <v>90</v>
      </c>
      <c r="D165" s="70">
        <v>0.13</v>
      </c>
      <c r="E165" s="71"/>
      <c r="F165" s="39"/>
      <c r="G165" s="35">
        <f>155/2</f>
        <v>77.5</v>
      </c>
      <c r="H165" s="40"/>
      <c r="I165" s="32">
        <f>F161*D165*G165</f>
        <v>864.44</v>
      </c>
      <c r="J165" s="71"/>
      <c r="L165" s="3">
        <v>31.7</v>
      </c>
    </row>
    <row r="166" spans="1:12" ht="26.4" x14ac:dyDescent="0.3">
      <c r="A166" s="5"/>
      <c r="B166" s="29" t="s">
        <v>36</v>
      </c>
      <c r="C166" s="72" t="s">
        <v>100</v>
      </c>
      <c r="D166" s="70"/>
      <c r="E166" s="71" t="s">
        <v>101</v>
      </c>
      <c r="F166" s="39">
        <f>45.8+19+45.9-(18*0.9+1.32+1.3+1.3+1.3)</f>
        <v>89.28</v>
      </c>
      <c r="G166" s="35">
        <v>130</v>
      </c>
      <c r="H166" s="26">
        <f>F166*G166</f>
        <v>11606.4</v>
      </c>
      <c r="I166" s="32"/>
      <c r="J166" s="71"/>
    </row>
    <row r="167" spans="1:12" ht="15.6" x14ac:dyDescent="0.3">
      <c r="A167" s="5"/>
      <c r="B167" s="73" t="s">
        <v>67</v>
      </c>
      <c r="C167" s="30" t="s">
        <v>88</v>
      </c>
      <c r="D167" s="70">
        <v>1.02</v>
      </c>
      <c r="E167" s="71"/>
      <c r="F167" s="39"/>
      <c r="G167" s="35"/>
      <c r="H167" s="40"/>
      <c r="I167" s="32">
        <f>G167*D167*F165</f>
        <v>0</v>
      </c>
      <c r="J167" s="71"/>
      <c r="K167" s="3">
        <v>1</v>
      </c>
      <c r="L167" s="3">
        <v>32.5</v>
      </c>
    </row>
    <row r="168" spans="1:12" ht="15.75" customHeight="1" x14ac:dyDescent="0.25">
      <c r="A168" s="172" t="s">
        <v>102</v>
      </c>
      <c r="B168" s="172"/>
      <c r="C168" s="172"/>
      <c r="D168" s="172"/>
      <c r="E168" s="172"/>
      <c r="F168" s="172"/>
      <c r="G168" s="172"/>
      <c r="H168" s="172"/>
      <c r="I168" s="172"/>
      <c r="J168" s="172"/>
      <c r="L168" s="3">
        <f>0.2*3</f>
        <v>0.6</v>
      </c>
    </row>
    <row r="169" spans="1:12" ht="24" customHeight="1" x14ac:dyDescent="0.25">
      <c r="A169" s="22">
        <v>36</v>
      </c>
      <c r="B169" s="74" t="s">
        <v>98</v>
      </c>
      <c r="C169" s="34" t="s">
        <v>86</v>
      </c>
      <c r="D169" s="25"/>
      <c r="E169" s="25" t="s">
        <v>35</v>
      </c>
      <c r="F169" s="26">
        <f>12.3+3.4+8.1</f>
        <v>23.8</v>
      </c>
      <c r="G169" s="27">
        <v>400</v>
      </c>
      <c r="H169" s="26">
        <f>F169*G169</f>
        <v>9520</v>
      </c>
      <c r="I169" s="26"/>
      <c r="J169" s="28">
        <f>H169+I170+I171+I172+I173</f>
        <v>10433.33</v>
      </c>
      <c r="L169" s="3">
        <f>L168+L165+L164+L163</f>
        <v>85.8</v>
      </c>
    </row>
    <row r="170" spans="1:12" ht="15.6" x14ac:dyDescent="0.3">
      <c r="A170" s="5"/>
      <c r="B170" s="29" t="s">
        <v>36</v>
      </c>
      <c r="C170" s="30" t="s">
        <v>87</v>
      </c>
      <c r="D170" s="70">
        <v>0.2</v>
      </c>
      <c r="E170" s="71"/>
      <c r="F170" s="39"/>
      <c r="G170" s="35">
        <v>15.5</v>
      </c>
      <c r="H170" s="40"/>
      <c r="I170" s="32">
        <f>G170*D170*F169</f>
        <v>73.78</v>
      </c>
      <c r="J170" s="71"/>
    </row>
    <row r="171" spans="1:12" ht="15.6" x14ac:dyDescent="0.3">
      <c r="A171" s="5"/>
      <c r="B171" s="73" t="s">
        <v>67</v>
      </c>
      <c r="C171" s="30" t="s">
        <v>88</v>
      </c>
      <c r="D171" s="70">
        <v>1.02</v>
      </c>
      <c r="E171" s="71"/>
      <c r="F171" s="39"/>
      <c r="G171" s="35"/>
      <c r="H171" s="40"/>
      <c r="I171" s="32">
        <f>G171*D171*F169</f>
        <v>0</v>
      </c>
      <c r="J171" s="71"/>
      <c r="L171" s="3">
        <f>80.4*7+L169</f>
        <v>648.6</v>
      </c>
    </row>
    <row r="172" spans="1:12" ht="15.6" x14ac:dyDescent="0.3">
      <c r="A172" s="5"/>
      <c r="B172" s="29" t="s">
        <v>36</v>
      </c>
      <c r="C172" s="72" t="s">
        <v>89</v>
      </c>
      <c r="D172" s="70">
        <v>4.2</v>
      </c>
      <c r="E172" s="71"/>
      <c r="F172" s="39"/>
      <c r="G172" s="35">
        <f>150/25</f>
        <v>6</v>
      </c>
      <c r="H172" s="40"/>
      <c r="I172" s="32">
        <f>G172*D172*F169</f>
        <v>599.76</v>
      </c>
      <c r="J172" s="71"/>
    </row>
    <row r="173" spans="1:12" ht="15.6" x14ac:dyDescent="0.3">
      <c r="A173" s="5"/>
      <c r="B173" s="29" t="s">
        <v>36</v>
      </c>
      <c r="C173" s="72" t="s">
        <v>90</v>
      </c>
      <c r="D173" s="70">
        <v>0.13</v>
      </c>
      <c r="E173" s="71"/>
      <c r="F173" s="39"/>
      <c r="G173" s="35">
        <f>155/2</f>
        <v>77.5</v>
      </c>
      <c r="H173" s="40"/>
      <c r="I173" s="32">
        <f>F169*D173*G173</f>
        <v>239.79</v>
      </c>
      <c r="J173" s="71"/>
    </row>
    <row r="174" spans="1:12" ht="26.4" x14ac:dyDescent="0.3">
      <c r="A174" s="5"/>
      <c r="B174" s="29" t="s">
        <v>36</v>
      </c>
      <c r="C174" s="72" t="s">
        <v>100</v>
      </c>
      <c r="D174" s="70"/>
      <c r="E174" s="71" t="s">
        <v>101</v>
      </c>
      <c r="F174" s="39">
        <f>(10.3+7+9.7+2)*1</f>
        <v>29</v>
      </c>
      <c r="G174" s="35">
        <f>G166</f>
        <v>130</v>
      </c>
      <c r="H174" s="26">
        <f>F174*G174</f>
        <v>3770</v>
      </c>
      <c r="I174" s="32"/>
      <c r="J174" s="71"/>
    </row>
    <row r="175" spans="1:12" ht="15.6" x14ac:dyDescent="0.3">
      <c r="A175" s="5"/>
      <c r="B175" s="73" t="s">
        <v>67</v>
      </c>
      <c r="C175" s="30" t="s">
        <v>88</v>
      </c>
      <c r="D175" s="70">
        <v>1.02</v>
      </c>
      <c r="E175" s="71"/>
      <c r="F175" s="39"/>
      <c r="G175" s="35"/>
      <c r="H175" s="40"/>
      <c r="I175" s="32">
        <f>G175*D175*F173</f>
        <v>0</v>
      </c>
      <c r="J175" s="71"/>
      <c r="K175" s="3">
        <v>1</v>
      </c>
      <c r="L175" s="3">
        <v>32.5</v>
      </c>
    </row>
    <row r="176" spans="1:12" ht="15.75" customHeight="1" x14ac:dyDescent="0.25">
      <c r="A176" s="172" t="s">
        <v>103</v>
      </c>
      <c r="B176" s="172"/>
      <c r="C176" s="172"/>
      <c r="D176" s="172"/>
      <c r="E176" s="172"/>
      <c r="F176" s="172"/>
      <c r="G176" s="172"/>
      <c r="H176" s="172"/>
      <c r="I176" s="172"/>
      <c r="J176" s="172"/>
      <c r="L176" s="3">
        <f>0.2*3</f>
        <v>0.6</v>
      </c>
    </row>
    <row r="177" spans="1:12" ht="24" customHeight="1" x14ac:dyDescent="0.25">
      <c r="A177" s="22">
        <v>36</v>
      </c>
      <c r="B177" s="74" t="s">
        <v>98</v>
      </c>
      <c r="C177" s="34" t="str">
        <f>C169</f>
        <v xml:space="preserve">Облицовка керамической плиткой </v>
      </c>
      <c r="D177" s="25"/>
      <c r="E177" s="25" t="s">
        <v>35</v>
      </c>
      <c r="F177" s="26">
        <f>4.9+2.7+2.3</f>
        <v>9.9</v>
      </c>
      <c r="G177" s="27">
        <v>400</v>
      </c>
      <c r="H177" s="26">
        <f>F177*G177</f>
        <v>3960</v>
      </c>
      <c r="I177" s="26"/>
      <c r="J177" s="28">
        <f>H177+I178+I179+I180+I181</f>
        <v>4339.91</v>
      </c>
      <c r="L177" s="3">
        <f>L176+L173+L172+L171</f>
        <v>649.20000000000005</v>
      </c>
    </row>
    <row r="178" spans="1:12" ht="15.6" x14ac:dyDescent="0.3">
      <c r="A178" s="5"/>
      <c r="B178" s="29" t="s">
        <v>36</v>
      </c>
      <c r="C178" s="30" t="s">
        <v>87</v>
      </c>
      <c r="D178" s="70">
        <v>0.2</v>
      </c>
      <c r="E178" s="71"/>
      <c r="F178" s="39"/>
      <c r="G178" s="35">
        <v>15.5</v>
      </c>
      <c r="H178" s="40"/>
      <c r="I178" s="32">
        <f>G178*D178*F177</f>
        <v>30.69</v>
      </c>
      <c r="J178" s="71"/>
    </row>
    <row r="179" spans="1:12" ht="15.6" x14ac:dyDescent="0.3">
      <c r="A179" s="5"/>
      <c r="B179" s="73" t="s">
        <v>67</v>
      </c>
      <c r="C179" s="30" t="s">
        <v>88</v>
      </c>
      <c r="D179" s="70">
        <v>1.02</v>
      </c>
      <c r="E179" s="71"/>
      <c r="F179" s="39"/>
      <c r="G179" s="35"/>
      <c r="H179" s="40"/>
      <c r="I179" s="32">
        <f>G179*D179*F177</f>
        <v>0</v>
      </c>
      <c r="J179" s="71"/>
      <c r="L179" s="3">
        <f>80.4*7+L177</f>
        <v>1212</v>
      </c>
    </row>
    <row r="180" spans="1:12" ht="15.6" x14ac:dyDescent="0.3">
      <c r="A180" s="5"/>
      <c r="B180" s="29" t="s">
        <v>36</v>
      </c>
      <c r="C180" s="72" t="s">
        <v>89</v>
      </c>
      <c r="D180" s="70">
        <v>4.2</v>
      </c>
      <c r="E180" s="71"/>
      <c r="F180" s="39"/>
      <c r="G180" s="35">
        <f>150/25</f>
        <v>6</v>
      </c>
      <c r="H180" s="40"/>
      <c r="I180" s="32">
        <f>G180*D180*F177</f>
        <v>249.48</v>
      </c>
      <c r="J180" s="71"/>
    </row>
    <row r="181" spans="1:12" ht="15.6" x14ac:dyDescent="0.3">
      <c r="A181" s="5"/>
      <c r="B181" s="29" t="s">
        <v>36</v>
      </c>
      <c r="C181" s="72" t="s">
        <v>90</v>
      </c>
      <c r="D181" s="70">
        <v>0.13</v>
      </c>
      <c r="E181" s="71"/>
      <c r="F181" s="39"/>
      <c r="G181" s="35">
        <f>155/2</f>
        <v>77.5</v>
      </c>
      <c r="H181" s="40"/>
      <c r="I181" s="32">
        <f>F177*D181*G181</f>
        <v>99.74</v>
      </c>
      <c r="J181" s="71"/>
    </row>
    <row r="182" spans="1:12" ht="26.4" x14ac:dyDescent="0.3">
      <c r="A182" s="5"/>
      <c r="B182" s="29" t="s">
        <v>36</v>
      </c>
      <c r="C182" s="72" t="str">
        <f>C174</f>
        <v xml:space="preserve">Устройство керамического плинтуса 150 мм
</v>
      </c>
      <c r="D182" s="70"/>
      <c r="E182" s="71" t="s">
        <v>101</v>
      </c>
      <c r="F182" s="39">
        <f>1.125+1.16+1.31+1.05+0.55+2.745-1.3</f>
        <v>6.64</v>
      </c>
      <c r="G182" s="35">
        <f>G174</f>
        <v>130</v>
      </c>
      <c r="H182" s="26">
        <f>F182*G182</f>
        <v>863.2</v>
      </c>
      <c r="I182" s="32"/>
      <c r="J182" s="71"/>
    </row>
    <row r="183" spans="1:12" ht="15.6" x14ac:dyDescent="0.3">
      <c r="A183" s="5"/>
      <c r="B183" s="73" t="s">
        <v>67</v>
      </c>
      <c r="C183" s="30" t="s">
        <v>88</v>
      </c>
      <c r="D183" s="70">
        <v>1.02</v>
      </c>
      <c r="E183" s="71"/>
      <c r="F183" s="39"/>
      <c r="G183" s="35"/>
      <c r="H183" s="40"/>
      <c r="I183" s="32">
        <f>G183*D183*F181</f>
        <v>0</v>
      </c>
      <c r="J183" s="71"/>
      <c r="K183" s="3">
        <v>1</v>
      </c>
      <c r="L183" s="3">
        <v>32.5</v>
      </c>
    </row>
    <row r="184" spans="1:12" ht="12.75" customHeight="1" x14ac:dyDescent="0.25">
      <c r="A184" s="173" t="s">
        <v>104</v>
      </c>
      <c r="B184" s="173"/>
      <c r="C184" s="173"/>
      <c r="D184" s="173"/>
      <c r="E184" s="173"/>
      <c r="F184" s="173"/>
      <c r="G184" s="173"/>
      <c r="H184" s="173"/>
      <c r="I184" s="173"/>
      <c r="J184" s="173"/>
    </row>
    <row r="185" spans="1:12" ht="12.75" customHeight="1" x14ac:dyDescent="0.25">
      <c r="A185" s="171" t="s">
        <v>97</v>
      </c>
      <c r="B185" s="171"/>
      <c r="C185" s="171"/>
      <c r="D185" s="171"/>
      <c r="E185" s="171"/>
      <c r="F185" s="171"/>
      <c r="G185" s="171"/>
      <c r="H185" s="171"/>
      <c r="I185" s="171"/>
      <c r="J185" s="171"/>
    </row>
    <row r="186" spans="1:12" ht="35.25" customHeight="1" x14ac:dyDescent="0.25">
      <c r="A186" s="22">
        <v>37</v>
      </c>
      <c r="B186" s="74" t="s">
        <v>98</v>
      </c>
      <c r="C186" s="24" t="str">
        <f>C177</f>
        <v xml:space="preserve">Облицовка керамической плиткой </v>
      </c>
      <c r="D186" s="25"/>
      <c r="E186" s="25" t="s">
        <v>35</v>
      </c>
      <c r="F186" s="26">
        <f>L162*7</f>
        <v>562.79999999999995</v>
      </c>
      <c r="G186" s="27">
        <v>400</v>
      </c>
      <c r="H186" s="26">
        <f>F186*G186</f>
        <v>225120</v>
      </c>
      <c r="I186" s="75"/>
      <c r="J186" s="28">
        <f>H186+I187+I188+I189+I190</f>
        <v>246717.45</v>
      </c>
    </row>
    <row r="187" spans="1:12" ht="15.6" x14ac:dyDescent="0.3">
      <c r="A187" s="5"/>
      <c r="B187" s="29" t="s">
        <v>36</v>
      </c>
      <c r="C187" s="30" t="s">
        <v>87</v>
      </c>
      <c r="D187" s="70">
        <v>0.2</v>
      </c>
      <c r="E187" s="71"/>
      <c r="F187" s="39"/>
      <c r="G187" s="35">
        <v>15.5</v>
      </c>
      <c r="H187" s="40"/>
      <c r="I187" s="32">
        <f>G187*D187*F186</f>
        <v>1744.68</v>
      </c>
      <c r="J187" s="71"/>
    </row>
    <row r="188" spans="1:12" ht="15.6" x14ac:dyDescent="0.3">
      <c r="A188" s="5"/>
      <c r="B188" s="73" t="s">
        <v>67</v>
      </c>
      <c r="C188" s="30" t="s">
        <v>88</v>
      </c>
      <c r="D188" s="70">
        <v>1.02</v>
      </c>
      <c r="E188" s="71"/>
      <c r="F188" s="39"/>
      <c r="G188" s="35"/>
      <c r="H188" s="40"/>
      <c r="I188" s="32">
        <f>G188*D188*F186</f>
        <v>0</v>
      </c>
      <c r="J188" s="71"/>
    </row>
    <row r="189" spans="1:12" ht="15.6" x14ac:dyDescent="0.3">
      <c r="A189" s="5"/>
      <c r="B189" s="29" t="s">
        <v>36</v>
      </c>
      <c r="C189" s="72" t="s">
        <v>93</v>
      </c>
      <c r="D189" s="70">
        <v>4.2</v>
      </c>
      <c r="E189" s="71"/>
      <c r="F189" s="39"/>
      <c r="G189" s="35">
        <f>150/25</f>
        <v>6</v>
      </c>
      <c r="H189" s="40"/>
      <c r="I189" s="32">
        <f>G189*D189*F186</f>
        <v>14182.56</v>
      </c>
      <c r="J189" s="71"/>
    </row>
    <row r="190" spans="1:12" ht="15.6" x14ac:dyDescent="0.3">
      <c r="A190" s="5"/>
      <c r="B190" s="29" t="s">
        <v>36</v>
      </c>
      <c r="C190" s="72" t="s">
        <v>90</v>
      </c>
      <c r="D190" s="70">
        <v>0.13</v>
      </c>
      <c r="E190" s="71"/>
      <c r="F190" s="39"/>
      <c r="G190" s="35">
        <f>155/2</f>
        <v>77.5</v>
      </c>
      <c r="H190" s="40"/>
      <c r="I190" s="32">
        <f>F186*D190*G190</f>
        <v>5670.21</v>
      </c>
      <c r="J190" s="71"/>
    </row>
    <row r="191" spans="1:12" ht="26.4" x14ac:dyDescent="0.3">
      <c r="A191" s="5"/>
      <c r="B191" s="29" t="s">
        <v>36</v>
      </c>
      <c r="C191" s="72" t="str">
        <f>C182</f>
        <v xml:space="preserve">Устройство керамического плинтуса 150 мм
</v>
      </c>
      <c r="D191" s="70"/>
      <c r="E191" s="71" t="s">
        <v>101</v>
      </c>
      <c r="F191" s="39">
        <f>(44+19+44-(18*0.9+1.32+1.3+1.3+1.3))*7</f>
        <v>599.05999999999995</v>
      </c>
      <c r="G191" s="35">
        <f>G182</f>
        <v>130</v>
      </c>
      <c r="H191" s="26">
        <f>F191*G191</f>
        <v>77877.8</v>
      </c>
      <c r="I191" s="32"/>
      <c r="J191" s="71"/>
    </row>
    <row r="192" spans="1:12" ht="15.6" x14ac:dyDescent="0.3">
      <c r="A192" s="5"/>
      <c r="B192" s="73" t="s">
        <v>67</v>
      </c>
      <c r="C192" s="30" t="s">
        <v>88</v>
      </c>
      <c r="D192" s="70">
        <v>1.02</v>
      </c>
      <c r="E192" s="71"/>
      <c r="F192" s="39"/>
      <c r="G192" s="35"/>
      <c r="H192" s="40"/>
      <c r="I192" s="32">
        <f>G192*D192*F190</f>
        <v>0</v>
      </c>
      <c r="J192" s="71"/>
      <c r="K192" s="3">
        <v>1</v>
      </c>
      <c r="L192" s="3">
        <v>32.5</v>
      </c>
    </row>
    <row r="193" spans="1:12" ht="15.75" customHeight="1" x14ac:dyDescent="0.25">
      <c r="A193" s="172" t="s">
        <v>105</v>
      </c>
      <c r="B193" s="172"/>
      <c r="C193" s="172"/>
      <c r="D193" s="172"/>
      <c r="E193" s="172"/>
      <c r="F193" s="172"/>
      <c r="G193" s="172"/>
      <c r="H193" s="172"/>
      <c r="I193" s="172"/>
      <c r="J193" s="172"/>
    </row>
    <row r="194" spans="1:12" ht="35.25" customHeight="1" x14ac:dyDescent="0.25">
      <c r="A194" s="22">
        <v>38</v>
      </c>
      <c r="B194" s="74" t="s">
        <v>98</v>
      </c>
      <c r="C194" s="24" t="str">
        <f>C186</f>
        <v xml:space="preserve">Облицовка керамической плиткой </v>
      </c>
      <c r="D194" s="25"/>
      <c r="E194" s="76" t="s">
        <v>35</v>
      </c>
      <c r="F194" s="26">
        <f>(12.1+8.7)*7+0</f>
        <v>145.6</v>
      </c>
      <c r="G194" s="27">
        <v>400</v>
      </c>
      <c r="H194" s="26">
        <f>F194*G194</f>
        <v>58240</v>
      </c>
      <c r="I194" s="77"/>
      <c r="J194" s="28">
        <f>H194+I195+I196+I197+I198</f>
        <v>63827.4</v>
      </c>
    </row>
    <row r="195" spans="1:12" ht="15.6" x14ac:dyDescent="0.3">
      <c r="A195" s="5"/>
      <c r="B195" s="29" t="s">
        <v>36</v>
      </c>
      <c r="C195" s="30" t="s">
        <v>87</v>
      </c>
      <c r="D195" s="70">
        <v>0.2</v>
      </c>
      <c r="E195" s="71"/>
      <c r="F195" s="39"/>
      <c r="G195" s="35">
        <v>15.5</v>
      </c>
      <c r="H195" s="40"/>
      <c r="I195" s="32">
        <f>G195*D195*F194</f>
        <v>451.36</v>
      </c>
      <c r="J195" s="71"/>
    </row>
    <row r="196" spans="1:12" ht="15.6" x14ac:dyDescent="0.3">
      <c r="A196" s="5"/>
      <c r="B196" s="73" t="s">
        <v>67</v>
      </c>
      <c r="C196" s="30" t="s">
        <v>88</v>
      </c>
      <c r="D196" s="70">
        <v>1.02</v>
      </c>
      <c r="E196" s="71"/>
      <c r="F196" s="39"/>
      <c r="G196" s="35"/>
      <c r="H196" s="40"/>
      <c r="I196" s="32">
        <f>G196*D196*F194</f>
        <v>0</v>
      </c>
      <c r="J196" s="71"/>
    </row>
    <row r="197" spans="1:12" ht="15.6" x14ac:dyDescent="0.3">
      <c r="A197" s="5"/>
      <c r="B197" s="29" t="s">
        <v>36</v>
      </c>
      <c r="C197" s="72" t="s">
        <v>89</v>
      </c>
      <c r="D197" s="70">
        <v>4.2</v>
      </c>
      <c r="E197" s="71"/>
      <c r="F197" s="39"/>
      <c r="G197" s="35">
        <f>150/25</f>
        <v>6</v>
      </c>
      <c r="H197" s="40"/>
      <c r="I197" s="32">
        <f>G197*D197*F194</f>
        <v>3669.12</v>
      </c>
      <c r="J197" s="71"/>
    </row>
    <row r="198" spans="1:12" ht="15.6" x14ac:dyDescent="0.3">
      <c r="A198" s="5"/>
      <c r="B198" s="29" t="s">
        <v>36</v>
      </c>
      <c r="C198" s="72" t="s">
        <v>90</v>
      </c>
      <c r="D198" s="70">
        <v>0.13</v>
      </c>
      <c r="E198" s="71"/>
      <c r="F198" s="39"/>
      <c r="G198" s="35">
        <f>155/2</f>
        <v>77.5</v>
      </c>
      <c r="H198" s="40"/>
      <c r="I198" s="32">
        <f>F194*D198*G198</f>
        <v>1466.92</v>
      </c>
      <c r="J198" s="71"/>
    </row>
    <row r="199" spans="1:12" ht="26.4" x14ac:dyDescent="0.3">
      <c r="A199" s="5"/>
      <c r="B199" s="29" t="s">
        <v>36</v>
      </c>
      <c r="C199" s="72" t="str">
        <f>C191</f>
        <v xml:space="preserve">Устройство керамического плинтуса 150 мм
</v>
      </c>
      <c r="D199" s="70"/>
      <c r="E199" s="71" t="s">
        <v>101</v>
      </c>
      <c r="F199" s="39">
        <f>(17.8-1.3+1.95)*7</f>
        <v>129.15</v>
      </c>
      <c r="G199" s="35">
        <f>G191</f>
        <v>130</v>
      </c>
      <c r="H199" s="40">
        <f>F199*G199</f>
        <v>16789.5</v>
      </c>
      <c r="I199" s="32"/>
      <c r="J199" s="71"/>
    </row>
    <row r="200" spans="1:12" ht="15.6" x14ac:dyDescent="0.3">
      <c r="A200" s="5"/>
      <c r="B200" s="73" t="s">
        <v>67</v>
      </c>
      <c r="C200" s="30" t="s">
        <v>88</v>
      </c>
      <c r="D200" s="70">
        <v>1.02</v>
      </c>
      <c r="E200" s="71"/>
      <c r="F200" s="39"/>
      <c r="G200" s="35"/>
      <c r="H200" s="40"/>
      <c r="I200" s="32">
        <f>G200*D200*F198</f>
        <v>0</v>
      </c>
      <c r="J200" s="71"/>
      <c r="K200" s="3">
        <v>1</v>
      </c>
      <c r="L200" s="3">
        <v>32.5</v>
      </c>
    </row>
    <row r="201" spans="1:12" ht="15.75" customHeight="1" x14ac:dyDescent="0.25">
      <c r="A201" s="172" t="s">
        <v>103</v>
      </c>
      <c r="B201" s="172"/>
      <c r="C201" s="172"/>
      <c r="D201" s="172"/>
      <c r="E201" s="172"/>
      <c r="F201" s="172"/>
      <c r="G201" s="172"/>
      <c r="H201" s="172"/>
      <c r="I201" s="172"/>
      <c r="J201" s="172"/>
      <c r="L201" s="3">
        <f>0.2*3</f>
        <v>0.6</v>
      </c>
    </row>
    <row r="202" spans="1:12" ht="24" customHeight="1" x14ac:dyDescent="0.25">
      <c r="A202" s="22">
        <v>36</v>
      </c>
      <c r="B202" s="74" t="s">
        <v>98</v>
      </c>
      <c r="C202" s="34" t="str">
        <f>C194</f>
        <v xml:space="preserve">Облицовка керамической плиткой </v>
      </c>
      <c r="D202" s="25"/>
      <c r="E202" s="25" t="s">
        <v>35</v>
      </c>
      <c r="F202" s="26">
        <f>(2.7+3.8+2.7)*7+2.7</f>
        <v>67.099999999999994</v>
      </c>
      <c r="G202" s="27">
        <v>400</v>
      </c>
      <c r="H202" s="26">
        <f>F202*G202</f>
        <v>26840</v>
      </c>
      <c r="I202" s="26"/>
      <c r="J202" s="28">
        <f>H202+I203+I204+I205+I206</f>
        <v>29414.959999999999</v>
      </c>
      <c r="L202" s="3">
        <f>L201+L198+L197+L196</f>
        <v>0.6</v>
      </c>
    </row>
    <row r="203" spans="1:12" ht="15.6" x14ac:dyDescent="0.3">
      <c r="A203" s="5"/>
      <c r="B203" s="29" t="s">
        <v>36</v>
      </c>
      <c r="C203" s="30" t="s">
        <v>87</v>
      </c>
      <c r="D203" s="70">
        <v>0.2</v>
      </c>
      <c r="E203" s="71"/>
      <c r="F203" s="39"/>
      <c r="G203" s="35">
        <v>15.5</v>
      </c>
      <c r="H203" s="40"/>
      <c r="I203" s="32">
        <f>G203*D203*F202</f>
        <v>208.01</v>
      </c>
      <c r="J203" s="71"/>
    </row>
    <row r="204" spans="1:12" ht="15.6" x14ac:dyDescent="0.3">
      <c r="A204" s="5"/>
      <c r="B204" s="73" t="s">
        <v>67</v>
      </c>
      <c r="C204" s="30" t="s">
        <v>88</v>
      </c>
      <c r="D204" s="70">
        <v>1.02</v>
      </c>
      <c r="E204" s="71"/>
      <c r="F204" s="39"/>
      <c r="G204" s="35"/>
      <c r="H204" s="40"/>
      <c r="I204" s="32">
        <f>G204*D204*F202</f>
        <v>0</v>
      </c>
      <c r="J204" s="71"/>
      <c r="L204" s="3">
        <f>80.4*7+L202</f>
        <v>563.4</v>
      </c>
    </row>
    <row r="205" spans="1:12" ht="15.6" x14ac:dyDescent="0.3">
      <c r="A205" s="5"/>
      <c r="B205" s="29" t="s">
        <v>36</v>
      </c>
      <c r="C205" s="72" t="s">
        <v>89</v>
      </c>
      <c r="D205" s="70">
        <v>4.2</v>
      </c>
      <c r="E205" s="71"/>
      <c r="F205" s="39"/>
      <c r="G205" s="35">
        <f>150/25</f>
        <v>6</v>
      </c>
      <c r="H205" s="40"/>
      <c r="I205" s="32">
        <f>G205*D205*F202</f>
        <v>1690.92</v>
      </c>
      <c r="J205" s="71"/>
    </row>
    <row r="206" spans="1:12" ht="15.6" x14ac:dyDescent="0.3">
      <c r="A206" s="5"/>
      <c r="B206" s="29" t="s">
        <v>36</v>
      </c>
      <c r="C206" s="72" t="s">
        <v>90</v>
      </c>
      <c r="D206" s="70">
        <v>0.13</v>
      </c>
      <c r="E206" s="71"/>
      <c r="F206" s="39"/>
      <c r="G206" s="35">
        <f>155/2</f>
        <v>77.5</v>
      </c>
      <c r="H206" s="40"/>
      <c r="I206" s="32">
        <f>F202*D206*G206</f>
        <v>676.03</v>
      </c>
      <c r="J206" s="71"/>
    </row>
    <row r="207" spans="1:12" ht="26.4" x14ac:dyDescent="0.3">
      <c r="A207" s="5"/>
      <c r="B207" s="29" t="s">
        <v>36</v>
      </c>
      <c r="C207" s="72" t="str">
        <f>C199</f>
        <v xml:space="preserve">Устройство керамического плинтуса 150 мм
</v>
      </c>
      <c r="D207" s="70"/>
      <c r="E207" s="71" t="s">
        <v>101</v>
      </c>
      <c r="F207" s="39">
        <f>3.8+(4.7+2.25+2.1+4.9)*7</f>
        <v>101.45</v>
      </c>
      <c r="G207" s="35">
        <f>G199</f>
        <v>130</v>
      </c>
      <c r="H207" s="40">
        <f>F207*G207</f>
        <v>13188.5</v>
      </c>
      <c r="I207" s="32"/>
      <c r="J207" s="71"/>
    </row>
    <row r="208" spans="1:12" ht="15.6" x14ac:dyDescent="0.3">
      <c r="A208" s="5"/>
      <c r="B208" s="73" t="s">
        <v>67</v>
      </c>
      <c r="C208" s="30" t="s">
        <v>88</v>
      </c>
      <c r="D208" s="70">
        <v>1.02</v>
      </c>
      <c r="E208" s="71"/>
      <c r="F208" s="39"/>
      <c r="G208" s="35"/>
      <c r="H208" s="40"/>
      <c r="I208" s="32">
        <f>G208*D208*F206</f>
        <v>0</v>
      </c>
      <c r="J208" s="71"/>
      <c r="K208" s="3">
        <v>1</v>
      </c>
      <c r="L208" s="3">
        <v>32.5</v>
      </c>
    </row>
    <row r="209" spans="1:10" ht="15.75" customHeight="1" x14ac:dyDescent="0.25">
      <c r="A209" s="172" t="s">
        <v>106</v>
      </c>
      <c r="B209" s="172"/>
      <c r="C209" s="172"/>
      <c r="D209" s="172"/>
      <c r="E209" s="172"/>
      <c r="F209" s="172"/>
      <c r="G209" s="172"/>
      <c r="H209" s="172"/>
      <c r="I209" s="172"/>
      <c r="J209" s="172"/>
    </row>
    <row r="210" spans="1:10" ht="35.25" customHeight="1" x14ac:dyDescent="0.25">
      <c r="A210" s="22">
        <v>39</v>
      </c>
      <c r="B210" s="74" t="s">
        <v>98</v>
      </c>
      <c r="C210" s="24" t="s">
        <v>107</v>
      </c>
      <c r="D210" s="25"/>
      <c r="E210" s="76" t="s">
        <v>101</v>
      </c>
      <c r="F210" s="26">
        <f>(3+14*8+6*7)*1.15+(13+80+70+8)*1.345</f>
        <v>410.54500000000002</v>
      </c>
      <c r="G210" s="27">
        <v>380</v>
      </c>
      <c r="H210" s="26">
        <f>F210*G210</f>
        <v>156007.1</v>
      </c>
      <c r="I210" s="78"/>
      <c r="J210" s="28">
        <f>H210+I211+I212+I213+I214</f>
        <v>186343.81</v>
      </c>
    </row>
    <row r="211" spans="1:10" ht="15.6" x14ac:dyDescent="0.3">
      <c r="A211" s="5"/>
      <c r="B211" s="29" t="s">
        <v>36</v>
      </c>
      <c r="C211" s="30" t="s">
        <v>92</v>
      </c>
      <c r="D211" s="79">
        <v>0.1125</v>
      </c>
      <c r="E211" s="71"/>
      <c r="F211" s="39"/>
      <c r="G211" s="35">
        <v>15.5</v>
      </c>
      <c r="H211" s="40"/>
      <c r="I211" s="32">
        <f>G211*D211*F210</f>
        <v>715.89</v>
      </c>
      <c r="J211" s="71"/>
    </row>
    <row r="212" spans="1:10" ht="15.6" x14ac:dyDescent="0.3">
      <c r="A212" s="5"/>
      <c r="B212" s="73" t="s">
        <v>67</v>
      </c>
      <c r="C212" s="30" t="s">
        <v>88</v>
      </c>
      <c r="D212" s="79">
        <v>0.46</v>
      </c>
      <c r="E212" s="71"/>
      <c r="F212" s="39"/>
      <c r="G212" s="35"/>
      <c r="H212" s="40"/>
      <c r="I212" s="32">
        <f>G212*D212*F210</f>
        <v>0</v>
      </c>
      <c r="J212" s="71"/>
    </row>
    <row r="213" spans="1:10" ht="15.6" x14ac:dyDescent="0.3">
      <c r="A213" s="5"/>
      <c r="B213" s="29" t="s">
        <v>36</v>
      </c>
      <c r="C213" s="72" t="s">
        <v>89</v>
      </c>
      <c r="D213" s="80">
        <v>11.25</v>
      </c>
      <c r="E213" s="71"/>
      <c r="F213" s="39"/>
      <c r="G213" s="35">
        <f>150/25</f>
        <v>6</v>
      </c>
      <c r="H213" s="40"/>
      <c r="I213" s="81">
        <f>G213*D213*F210</f>
        <v>27711.79</v>
      </c>
      <c r="J213" s="71"/>
    </row>
    <row r="214" spans="1:10" ht="15.6" x14ac:dyDescent="0.3">
      <c r="A214" s="5"/>
      <c r="B214" s="29" t="s">
        <v>36</v>
      </c>
      <c r="C214" s="72" t="s">
        <v>90</v>
      </c>
      <c r="D214" s="79">
        <v>0.06</v>
      </c>
      <c r="E214" s="71"/>
      <c r="F214" s="39"/>
      <c r="G214" s="35">
        <f>155/2</f>
        <v>77.5</v>
      </c>
      <c r="H214" s="40"/>
      <c r="I214" s="32">
        <f>F210*D214*G214</f>
        <v>1909.03</v>
      </c>
      <c r="J214" s="71"/>
    </row>
    <row r="215" spans="1:10" ht="13.8" x14ac:dyDescent="0.25">
      <c r="C215" s="82" t="s">
        <v>108</v>
      </c>
      <c r="D215" s="83"/>
      <c r="E215" s="83"/>
      <c r="F215" s="84"/>
      <c r="G215" s="85"/>
      <c r="H215" s="84">
        <f>SUM(H24:H214)</f>
        <v>3891907.82</v>
      </c>
      <c r="I215" s="84">
        <f>SUM(I24:I214)</f>
        <v>1789851.78</v>
      </c>
      <c r="J215" s="84">
        <f>H215+I215</f>
        <v>5681759.5999999996</v>
      </c>
    </row>
    <row r="219" spans="1:10" x14ac:dyDescent="0.25">
      <c r="B219" s="9" t="s">
        <v>109</v>
      </c>
    </row>
    <row r="222" spans="1:10" x14ac:dyDescent="0.25">
      <c r="B222" s="9" t="s">
        <v>110</v>
      </c>
    </row>
  </sheetData>
  <mergeCells count="44">
    <mergeCell ref="B1:J1"/>
    <mergeCell ref="C11:H11"/>
    <mergeCell ref="C12:H12"/>
    <mergeCell ref="A14:J14"/>
    <mergeCell ref="A15:H16"/>
    <mergeCell ref="A17:A19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  <mergeCell ref="A21:J21"/>
    <mergeCell ref="A22:J22"/>
    <mergeCell ref="A23:J23"/>
    <mergeCell ref="A34:J34"/>
    <mergeCell ref="A48:J48"/>
    <mergeCell ref="A49:J49"/>
    <mergeCell ref="A50:J50"/>
    <mergeCell ref="A61:J61"/>
    <mergeCell ref="A75:J75"/>
    <mergeCell ref="A86:J86"/>
    <mergeCell ref="A108:J108"/>
    <mergeCell ref="A109:J109"/>
    <mergeCell ref="A110:J110"/>
    <mergeCell ref="A117:J117"/>
    <mergeCell ref="A118:J118"/>
    <mergeCell ref="A128:J128"/>
    <mergeCell ref="A140:J140"/>
    <mergeCell ref="A141:J141"/>
    <mergeCell ref="A147:J147"/>
    <mergeCell ref="A153:J153"/>
    <mergeCell ref="A185:J185"/>
    <mergeCell ref="A193:J193"/>
    <mergeCell ref="A201:J201"/>
    <mergeCell ref="A209:J209"/>
    <mergeCell ref="A159:J159"/>
    <mergeCell ref="A160:J160"/>
    <mergeCell ref="A168:J168"/>
    <mergeCell ref="A176:J176"/>
    <mergeCell ref="A184:J184"/>
  </mergeCells>
  <pageMargins left="0.196527777777778" right="0" top="0.47222222222222199" bottom="0.43263888888888902" header="0.23611111111111099" footer="0.23611111111111099"/>
  <pageSetup paperSize="9" scale="73" fitToHeight="1000" orientation="landscape" horizontalDpi="300" verticalDpi="300" r:id="rId1"/>
  <headerFooter>
    <oddHeader>&amp;LГРАНД-Смета 2019</oddHeader>
    <oddFooter>&amp;RСтраница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Лист1!$A$1:$A$11</xm:f>
          </x14:formula1>
          <x14:formula2>
            <xm:f>0</xm:f>
          </x14:formula2>
          <xm:sqref>C17:C19 C24:C33 C35:C47 C51:C60 C62:C74 C76:C85 C87:C107 C111:C116 C119:C127 C129:C139 C142:C146 C148:C152 C154:C158 C161:C167 C169:C175 C177:C183 C186:C192 C194:C200 C202:C208 C210:C1222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1"/>
  <sheetViews>
    <sheetView view="pageBreakPreview" zoomScale="65" zoomScaleNormal="100" zoomScalePageLayoutView="65" workbookViewId="0">
      <selection activeCell="A15" sqref="A15"/>
    </sheetView>
  </sheetViews>
  <sheetFormatPr defaultColWidth="8.6640625" defaultRowHeight="13.2" x14ac:dyDescent="0.25"/>
  <cols>
    <col min="1" max="1" width="55.88671875" customWidth="1"/>
  </cols>
  <sheetData>
    <row r="1" spans="1:1" ht="39.6" x14ac:dyDescent="0.25">
      <c r="A1" s="86" t="s">
        <v>62</v>
      </c>
    </row>
    <row r="2" spans="1:1" ht="52.8" x14ac:dyDescent="0.25">
      <c r="A2" s="86" t="s">
        <v>111</v>
      </c>
    </row>
    <row r="3" spans="1:1" x14ac:dyDescent="0.25">
      <c r="A3" t="s">
        <v>112</v>
      </c>
    </row>
    <row r="4" spans="1:1" x14ac:dyDescent="0.25">
      <c r="A4" t="s">
        <v>113</v>
      </c>
    </row>
    <row r="5" spans="1:1" ht="39.6" x14ac:dyDescent="0.25">
      <c r="A5" s="86" t="s">
        <v>114</v>
      </c>
    </row>
    <row r="6" spans="1:1" ht="26.4" x14ac:dyDescent="0.25">
      <c r="A6" s="86" t="s">
        <v>115</v>
      </c>
    </row>
    <row r="7" spans="1:1" ht="26.4" x14ac:dyDescent="0.25">
      <c r="A7" s="86" t="s">
        <v>116</v>
      </c>
    </row>
    <row r="8" spans="1:1" ht="26.4" x14ac:dyDescent="0.25">
      <c r="A8" s="86" t="s">
        <v>117</v>
      </c>
    </row>
    <row r="9" spans="1:1" ht="26.4" x14ac:dyDescent="0.25">
      <c r="A9" s="86" t="s">
        <v>58</v>
      </c>
    </row>
    <row r="10" spans="1:1" ht="26.4" x14ac:dyDescent="0.25">
      <c r="A10" s="86" t="s">
        <v>118</v>
      </c>
    </row>
    <row r="11" spans="1:1" ht="39.6" x14ac:dyDescent="0.25">
      <c r="A11" s="86" t="s">
        <v>119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43</vt:i4>
      </vt:variant>
    </vt:vector>
  </HeadingPairs>
  <TitlesOfParts>
    <vt:vector size="47" baseType="lpstr">
      <vt:lpstr>ВДЦ</vt:lpstr>
      <vt:lpstr>Лист2</vt:lpstr>
      <vt:lpstr>смета с расчетом и формулами </vt:lpstr>
      <vt:lpstr>Лист1</vt:lpstr>
      <vt:lpstr>'смета с расчетом и формулами '!_ФильтрБазыДанных</vt:lpstr>
      <vt:lpstr>ВДЦ!Print_Area_0_0</vt:lpstr>
      <vt:lpstr>ВДЦ!Print_Area_0_0_0</vt:lpstr>
      <vt:lpstr>ВДЦ!Print_Area_0_0_0_0</vt:lpstr>
      <vt:lpstr>ВДЦ!Print_Titles</vt:lpstr>
      <vt:lpstr>'смета с расчетом и формулами '!Print_Titles</vt:lpstr>
      <vt:lpstr>ВДЦ!Print_Titles_0</vt:lpstr>
      <vt:lpstr>'смета с расчетом и формулами '!Print_Titles_0</vt:lpstr>
      <vt:lpstr>ВДЦ!Print_Titles_0_0</vt:lpstr>
      <vt:lpstr>'смета с расчетом и формулами '!Print_Titles_0_0</vt:lpstr>
      <vt:lpstr>ВДЦ!Print_Titles_0_0_0</vt:lpstr>
      <vt:lpstr>'смета с расчетом и формулами '!Print_Titles_0_0_0</vt:lpstr>
      <vt:lpstr>ВДЦ!Print_Titles_0_0_0_0</vt:lpstr>
      <vt:lpstr>'смета с расчетом и формулами '!Print_Titles_0_0_0_0</vt:lpstr>
      <vt:lpstr>ВДЦ!Print_Titles_0_0_0_0_0</vt:lpstr>
      <vt:lpstr>'смета с расчетом и формулами '!Print_Titles_0_0_0_0_0</vt:lpstr>
      <vt:lpstr>ВДЦ!Print_Titles_0_0_0_0_0_0</vt:lpstr>
      <vt:lpstr>'смета с расчетом и формулами '!Print_Titles_0_0_0_0_0_0</vt:lpstr>
      <vt:lpstr>ВДЦ!Print_Titles_0_0_0_0_0_0_0</vt:lpstr>
      <vt:lpstr>'смета с расчетом и формулами '!Print_Titles_0_0_0_0_0_0_0</vt:lpstr>
      <vt:lpstr>ВДЦ!Print_Titles_0_0_0_0_0_0_0_0</vt:lpstr>
      <vt:lpstr>'смета с расчетом и формулами '!Print_Titles_0_0_0_0_0_0_0_0</vt:lpstr>
      <vt:lpstr>ВДЦ!Print_Titles_0_0_0_0_0_0_0_0_0</vt:lpstr>
      <vt:lpstr>'смета с расчетом и формулами '!Print_Titles_0_0_0_0_0_0_0_0_0</vt:lpstr>
      <vt:lpstr>ВДЦ!Print_Titles_0_0_0_0_0_0_0_0_0_0</vt:lpstr>
      <vt:lpstr>'смета с расчетом и формулами '!Print_Titles_0_0_0_0_0_0_0_0_0_0</vt:lpstr>
      <vt:lpstr>ВДЦ!Print_Titles_0_0_0_0_0_0_0_0_0_0_0</vt:lpstr>
      <vt:lpstr>'смета с расчетом и формулами '!Print_Titles_0_0_0_0_0_0_0_0_0_0_0</vt:lpstr>
      <vt:lpstr>ВДЦ!Print_Titles_0_0_0_0_0_0_0_0_0_0_0_0</vt:lpstr>
      <vt:lpstr>'смета с расчетом и формулами '!Print_Titles_0_0_0_0_0_0_0_0_0_0_0_0</vt:lpstr>
      <vt:lpstr>ВДЦ!Print_Titles_0_0_0_0_0_0_0_0_0_0_0_0_0</vt:lpstr>
      <vt:lpstr>'смета с расчетом и формулами '!Print_Titles_0_0_0_0_0_0_0_0_0_0_0_0_0</vt:lpstr>
      <vt:lpstr>ВДЦ!Print_Titles_0_0_0_0_0_0_0_0_0_0_0_0_0_0</vt:lpstr>
      <vt:lpstr>'смета с расчетом и формулами '!Print_Titles_0_0_0_0_0_0_0_0_0_0_0_0_0_0</vt:lpstr>
      <vt:lpstr>ВДЦ!Print_Titles_0_0_0_0_0_0_0_0_0_0_0_0_0_0_0</vt:lpstr>
      <vt:lpstr>'смета с расчетом и формулами '!Print_Titles_0_0_0_0_0_0_0_0_0_0_0_0_0_0_0</vt:lpstr>
      <vt:lpstr>ВДЦ!Print_Titles_0_0_0_0_0_0_0_0_0_0_0_0_0_0_0_0</vt:lpstr>
      <vt:lpstr>'смета с расчетом и формулами '!Print_Titles_0_0_0_0_0_0_0_0_0_0_0_0_0_0_0_0</vt:lpstr>
      <vt:lpstr>ВДЦ!Print_Titles_0_0_0_0_0_0_0_0_0_0_0_0_0_0_0_0_0</vt:lpstr>
      <vt:lpstr>'смета с расчетом и формулами '!Print_Titles_0_0_0_0_0_0_0_0_0_0_0_0_0_0_0_0_0</vt:lpstr>
      <vt:lpstr>ВДЦ!Заголовки_для_печати</vt:lpstr>
      <vt:lpstr>'смета с расчетом и формулами '!Заголовки_для_печати</vt:lpstr>
      <vt:lpstr>ВДЦ!Область_печати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Перевалова Вера Александровна</dc:creator>
  <cp:lastModifiedBy>Рагимов Фарид Тахирович</cp:lastModifiedBy>
  <cp:revision>47</cp:revision>
  <cp:lastPrinted>2026-09-04T13:52:03Z</cp:lastPrinted>
  <dcterms:created xsi:type="dcterms:W3CDTF">2002-02-11T05:58:42Z</dcterms:created>
  <dcterms:modified xsi:type="dcterms:W3CDTF">2026-09-10T10:59:43Z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